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oistein_lunde_gymogturn_no/Documents/Dokumenter/Gjøvik Skiklubb/"/>
    </mc:Choice>
  </mc:AlternateContent>
  <xr:revisionPtr revIDLastSave="315" documentId="8_{FAEE84EA-B8F6-485B-99BC-80936A3E2058}" xr6:coauthVersionLast="47" xr6:coauthVersionMax="47" xr10:uidLastSave="{05FD3C20-4DE1-4670-9E21-7DE682B8288B}"/>
  <bookViews>
    <workbookView xWindow="-110" yWindow="-110" windowWidth="19420" windowHeight="10300" xr2:uid="{00000000-000D-0000-FFFF-FFFF00000000}"/>
  </bookViews>
  <sheets>
    <sheet name="Budsjett 2025" sheetId="1" r:id="rId1"/>
    <sheet name="OSR_Resultat_...3a21ba33_HEX3NS" sheetId="2" state="hidden" r:id="rId2"/>
    <sheet name="OSR_Balanse_d...b8468579_F2RXWS" sheetId="4" state="hidden" r:id="rId3"/>
    <sheet name="OSR_Avdeling_...2e9dfb58_HRAJLI" sheetId="10" state="hidden" r:id="rId4"/>
  </sheets>
  <definedNames>
    <definedName name="MANED2" localSheetId="0">'Budsjett 2025'!$A$261:$B$272</definedName>
    <definedName name="MANED2" localSheetId="3">#REF!</definedName>
    <definedName name="MANED2" localSheetId="2">#REF!</definedName>
    <definedName name="MANED2" localSheetId="1">'OSR_Resultat_...3a21ba33_HEX3NS'!$A$160:$B$171</definedName>
    <definedName name="MANED2">#REF!</definedName>
    <definedName name="MANED3" localSheetId="0">#REF!</definedName>
    <definedName name="MANED3" localSheetId="3">'OSR_Avdeling_...2e9dfb58_HRAJLI'!$A$160:$B$171</definedName>
    <definedName name="MANED3" localSheetId="2">#REF!</definedName>
    <definedName name="MANED3" localSheetId="1">#REF!</definedName>
    <definedName name="MANED3">#REF!</definedName>
    <definedName name="MANED4" localSheetId="0">#REF!</definedName>
    <definedName name="MANED4" localSheetId="3">#REF!</definedName>
    <definedName name="MANED4" localSheetId="2">'OSR_Balanse_d...b8468579_F2RXWS'!$A$159:$B$170</definedName>
    <definedName name="MANED4" localSheetId="1">#REF!</definedName>
    <definedName name="MANED4">#REF!</definedName>
    <definedName name="MANED5" localSheetId="0">#REF!</definedName>
    <definedName name="MANED5" localSheetId="3">#REF!</definedName>
    <definedName name="MANED5" localSheetId="2">#REF!</definedName>
    <definedName name="MANED5" localSheetId="1">#REF!</definedName>
    <definedName name="MANED5">#REF!</definedName>
    <definedName name="_xlnm.Print_Titles" localSheetId="0">'Budsjett 2025'!$7:$8</definedName>
    <definedName name="_xlnm.Print_Titles" localSheetId="3">'OSR_Avdeling_...2e9dfb58_HRAJLI'!$7:$8</definedName>
    <definedName name="_xlnm.Print_Titles" localSheetId="1">'OSR_Resultat_...3a21ba33_HEX3NS'!$7:$8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" i="1" l="1"/>
  <c r="D117" i="1"/>
  <c r="D118" i="1"/>
  <c r="D119" i="1"/>
  <c r="D120" i="1"/>
  <c r="D121" i="1"/>
  <c r="D115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43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0" i="1"/>
  <c r="J122" i="1"/>
  <c r="E122" i="1"/>
  <c r="F122" i="1"/>
  <c r="G122" i="1"/>
  <c r="H122" i="1"/>
  <c r="I122" i="1"/>
  <c r="E112" i="1"/>
  <c r="F112" i="1"/>
  <c r="G112" i="1"/>
  <c r="H112" i="1"/>
  <c r="I112" i="1"/>
  <c r="J112" i="1"/>
  <c r="F40" i="1"/>
  <c r="H40" i="1"/>
  <c r="J40" i="1"/>
  <c r="I36" i="1"/>
  <c r="I34" i="1"/>
  <c r="I33" i="1"/>
  <c r="I30" i="1"/>
  <c r="I28" i="1"/>
  <c r="I24" i="1"/>
  <c r="I23" i="1"/>
  <c r="I17" i="1"/>
  <c r="I16" i="1"/>
  <c r="I14" i="1"/>
  <c r="I13" i="1"/>
  <c r="I40" i="1" s="1"/>
  <c r="I124" i="1" s="1"/>
  <c r="I129" i="1" s="1"/>
  <c r="E37" i="1"/>
  <c r="E34" i="1"/>
  <c r="E27" i="1"/>
  <c r="E26" i="1"/>
  <c r="E25" i="1"/>
  <c r="E22" i="1"/>
  <c r="E21" i="1"/>
  <c r="E20" i="1"/>
  <c r="E40" i="1" s="1"/>
  <c r="E124" i="1" s="1"/>
  <c r="E129" i="1" s="1"/>
  <c r="E19" i="1"/>
  <c r="E10" i="1"/>
  <c r="G36" i="1"/>
  <c r="G34" i="1"/>
  <c r="G32" i="1"/>
  <c r="G33" i="1"/>
  <c r="G30" i="1"/>
  <c r="G28" i="1"/>
  <c r="G23" i="1"/>
  <c r="G21" i="1"/>
  <c r="G18" i="1"/>
  <c r="G15" i="1"/>
  <c r="G14" i="1"/>
  <c r="G12" i="1"/>
  <c r="G11" i="1"/>
  <c r="G40" i="1" s="1"/>
  <c r="G124" i="1" s="1"/>
  <c r="G129" i="1" s="1"/>
  <c r="I4" i="10"/>
  <c r="K4" i="4"/>
  <c r="I4" i="2"/>
  <c r="B257" i="1"/>
  <c r="B256" i="1"/>
  <c r="D127" i="1"/>
  <c r="C127" i="1"/>
  <c r="C122" i="1"/>
  <c r="C112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156" i="10"/>
  <c r="F25" i="10"/>
  <c r="E20" i="10"/>
  <c r="B19" i="10"/>
  <c r="A18" i="10"/>
  <c r="E14" i="10"/>
  <c r="D11" i="10"/>
  <c r="A10" i="10"/>
  <c r="H16" i="4"/>
  <c r="C14" i="4"/>
  <c r="D10" i="4"/>
  <c r="C26" i="2"/>
  <c r="H20" i="2"/>
  <c r="D19" i="2"/>
  <c r="C18" i="2"/>
  <c r="H14" i="2"/>
  <c r="F11" i="2"/>
  <c r="C10" i="2"/>
  <c r="E25" i="10"/>
  <c r="D14" i="10"/>
  <c r="B5" i="10"/>
  <c r="B14" i="4"/>
  <c r="C10" i="4"/>
  <c r="F20" i="2"/>
  <c r="C19" i="2"/>
  <c r="E11" i="2"/>
  <c r="D25" i="10"/>
  <c r="C14" i="10"/>
  <c r="A5" i="10"/>
  <c r="A14" i="4"/>
  <c r="E20" i="2"/>
  <c r="H19" i="10"/>
  <c r="B155" i="10"/>
  <c r="D15" i="4"/>
  <c r="H26" i="10"/>
  <c r="E11" i="4"/>
  <c r="H26" i="2"/>
  <c r="D25" i="2"/>
  <c r="C20" i="2"/>
  <c r="H18" i="2"/>
  <c r="F15" i="2"/>
  <c r="C14" i="2"/>
  <c r="H10" i="2"/>
  <c r="F26" i="10"/>
  <c r="F26" i="2"/>
  <c r="C25" i="2"/>
  <c r="H19" i="2"/>
  <c r="F18" i="2"/>
  <c r="E15" i="2"/>
  <c r="B14" i="2"/>
  <c r="F10" i="2"/>
  <c r="A3" i="2"/>
  <c r="A14" i="2"/>
  <c r="E26" i="10"/>
  <c r="B25" i="10"/>
  <c r="F19" i="10"/>
  <c r="E18" i="10"/>
  <c r="D15" i="10"/>
  <c r="A14" i="10"/>
  <c r="E10" i="10"/>
  <c r="D26" i="10"/>
  <c r="A25" i="10"/>
  <c r="E19" i="10"/>
  <c r="D18" i="10"/>
  <c r="C15" i="10"/>
  <c r="H11" i="10"/>
  <c r="D10" i="10"/>
  <c r="A3" i="10"/>
  <c r="G14" i="4"/>
  <c r="C11" i="4"/>
  <c r="C26" i="10"/>
  <c r="H20" i="10"/>
  <c r="D19" i="10"/>
  <c r="C18" i="10"/>
  <c r="H14" i="10"/>
  <c r="F11" i="10"/>
  <c r="C10" i="10"/>
  <c r="B155" i="4"/>
  <c r="F14" i="4"/>
  <c r="G10" i="4"/>
  <c r="A3" i="4"/>
  <c r="E26" i="2"/>
  <c r="B25" i="2"/>
  <c r="F19" i="2"/>
  <c r="E18" i="2"/>
  <c r="D15" i="2"/>
  <c r="E10" i="2"/>
  <c r="H25" i="10"/>
  <c r="F20" i="10"/>
  <c r="C19" i="10"/>
  <c r="B18" i="10"/>
  <c r="F14" i="10"/>
  <c r="E11" i="10"/>
  <c r="B10" i="10"/>
  <c r="B154" i="4"/>
  <c r="D14" i="4"/>
  <c r="F10" i="4"/>
  <c r="D26" i="2"/>
  <c r="A25" i="2"/>
  <c r="E19" i="2"/>
  <c r="D18" i="2"/>
  <c r="C15" i="2"/>
  <c r="H11" i="2"/>
  <c r="D10" i="2"/>
  <c r="D20" i="10"/>
  <c r="A19" i="10"/>
  <c r="H15" i="10"/>
  <c r="C11" i="10"/>
  <c r="E16" i="4"/>
  <c r="H25" i="2"/>
  <c r="B18" i="2"/>
  <c r="F14" i="2"/>
  <c r="B10" i="2"/>
  <c r="C20" i="10"/>
  <c r="H18" i="10"/>
  <c r="F15" i="10"/>
  <c r="H10" i="10"/>
  <c r="C16" i="4"/>
  <c r="B10" i="4"/>
  <c r="B156" i="2"/>
  <c r="F25" i="2"/>
  <c r="B19" i="2"/>
  <c r="A18" i="2"/>
  <c r="E14" i="2"/>
  <c r="D11" i="2"/>
  <c r="A10" i="2"/>
  <c r="C25" i="10"/>
  <c r="F18" i="10"/>
  <c r="E15" i="10"/>
  <c r="B14" i="10"/>
  <c r="F10" i="10"/>
  <c r="G15" i="4"/>
  <c r="H11" i="4"/>
  <c r="A10" i="4"/>
  <c r="B155" i="2"/>
  <c r="E25" i="2"/>
  <c r="D20" i="2"/>
  <c r="A19" i="2"/>
  <c r="H15" i="2"/>
  <c r="D14" i="2"/>
  <c r="C11" i="2"/>
  <c r="D122" i="1" l="1"/>
  <c r="H124" i="1"/>
  <c r="H129" i="1" s="1"/>
  <c r="J124" i="1"/>
  <c r="J129" i="1" s="1"/>
  <c r="F124" i="1"/>
  <c r="F129" i="1" s="1"/>
  <c r="D112" i="1"/>
  <c r="D40" i="1"/>
  <c r="C22" i="2"/>
  <c r="C28" i="2" s="1"/>
  <c r="F4" i="2"/>
  <c r="H15" i="4"/>
  <c r="D22" i="2"/>
  <c r="D28" i="2" s="1"/>
  <c r="I16" i="4"/>
  <c r="C22" i="10"/>
  <c r="C28" i="10" s="1"/>
  <c r="H22" i="2"/>
  <c r="H28" i="2" s="1"/>
  <c r="H10" i="4"/>
  <c r="H4" i="4"/>
  <c r="H14" i="4"/>
  <c r="F22" i="10"/>
  <c r="F28" i="10" s="1"/>
  <c r="H22" i="10"/>
  <c r="H28" i="10" s="1"/>
  <c r="I11" i="4"/>
  <c r="E15" i="4"/>
  <c r="F4" i="10"/>
  <c r="E10" i="4"/>
  <c r="I10" i="4" s="1"/>
  <c r="F22" i="2"/>
  <c r="F28" i="2" s="1"/>
  <c r="E14" i="4"/>
  <c r="I14" i="4" s="1"/>
  <c r="D22" i="10"/>
  <c r="D28" i="10" s="1"/>
  <c r="C40" i="1"/>
  <c r="I10" i="2"/>
  <c r="G10" i="2"/>
  <c r="E22" i="2"/>
  <c r="I11" i="2"/>
  <c r="G11" i="2"/>
  <c r="I14" i="2"/>
  <c r="G14" i="2"/>
  <c r="I15" i="2"/>
  <c r="G15" i="2"/>
  <c r="I18" i="2"/>
  <c r="G18" i="2"/>
  <c r="I19" i="2"/>
  <c r="G19" i="2"/>
  <c r="I20" i="2"/>
  <c r="G20" i="2"/>
  <c r="I25" i="2"/>
  <c r="G25" i="2"/>
  <c r="I26" i="2"/>
  <c r="G26" i="2"/>
  <c r="I10" i="10"/>
  <c r="G10" i="10"/>
  <c r="E22" i="10"/>
  <c r="I11" i="10"/>
  <c r="G11" i="10"/>
  <c r="I14" i="10"/>
  <c r="G14" i="10"/>
  <c r="I15" i="10"/>
  <c r="G15" i="10"/>
  <c r="I18" i="10"/>
  <c r="G18" i="10"/>
  <c r="I19" i="10"/>
  <c r="G19" i="10"/>
  <c r="I20" i="10"/>
  <c r="G20" i="10"/>
  <c r="I25" i="10"/>
  <c r="G25" i="10"/>
  <c r="I26" i="10"/>
  <c r="G26" i="10"/>
  <c r="D124" i="1" l="1"/>
  <c r="D129" i="1" s="1"/>
  <c r="I15" i="4"/>
  <c r="E28" i="10"/>
  <c r="I22" i="10"/>
  <c r="G22" i="10"/>
  <c r="E28" i="2"/>
  <c r="I22" i="2"/>
  <c r="G22" i="2"/>
  <c r="C124" i="1"/>
  <c r="C129" i="1" l="1"/>
  <c r="I28" i="2"/>
  <c r="G28" i="2"/>
  <c r="I28" i="10"/>
  <c r="G28" i="10"/>
</calcChain>
</file>

<file path=xl/sharedStrings.xml><?xml version="1.0" encoding="utf-8"?>
<sst xmlns="http://schemas.openxmlformats.org/spreadsheetml/2006/main" count="296" uniqueCount="170">
  <si>
    <t>Inntekter</t>
  </si>
  <si>
    <t>Februar</t>
  </si>
  <si>
    <t>04</t>
  </si>
  <si>
    <t>08</t>
  </si>
  <si>
    <t>11</t>
  </si>
  <si>
    <t>November</t>
  </si>
  <si>
    <t>Spesielle offentlige tilskudd</t>
  </si>
  <si>
    <t>Utgifter spons og dugnad</t>
  </si>
  <si>
    <t>Strøm Hovdebakken</t>
  </si>
  <si>
    <t>Reparasjon og vedlikehold skiløyper</t>
  </si>
  <si>
    <t>Tilskudd alpint</t>
  </si>
  <si>
    <t>Rentekostnad leverandørgjeld</t>
  </si>
  <si>
    <t>Hittil</t>
  </si>
  <si>
    <t>I år</t>
  </si>
  <si>
    <t>Finansinntekter/-kostnader</t>
  </si>
  <si>
    <t>April</t>
  </si>
  <si>
    <t>ib. Ifjor</t>
  </si>
  <si>
    <t>Utleie klubbhus avg.pl høy sats</t>
  </si>
  <si>
    <t>Grasrotandeler</t>
  </si>
  <si>
    <t>Kick Back Avtaler</t>
  </si>
  <si>
    <t>Overført fra hovedlag</t>
  </si>
  <si>
    <t>Kommunale avgifter</t>
  </si>
  <si>
    <t>Kredittkortprovisjoner</t>
  </si>
  <si>
    <t>Renter banklån</t>
  </si>
  <si>
    <t>Langrenn</t>
  </si>
  <si>
    <t>Netto finans</t>
  </si>
  <si>
    <t>endring</t>
  </si>
  <si>
    <t>Aktivitetsmidler</t>
  </si>
  <si>
    <t>Medlemskontingent, avgiftsfritt utenfor avg.området</t>
  </si>
  <si>
    <t>Opph/reise renn/repr.</t>
  </si>
  <si>
    <t>Strøm langrenn</t>
  </si>
  <si>
    <t>Porto</t>
  </si>
  <si>
    <t>Skatter, disponeringer mv</t>
  </si>
  <si>
    <t>SUM EIENDELER</t>
  </si>
  <si>
    <t>SUM EGENKAPITAL OG GJELD</t>
  </si>
  <si>
    <t>Avdeling:</t>
  </si>
  <si>
    <t>Gaver</t>
  </si>
  <si>
    <t>Spillmidler</t>
  </si>
  <si>
    <t>Treningsavgift, avgiftsfritt utenfor avg.området</t>
  </si>
  <si>
    <t>Diverse inntekter/støtte</t>
  </si>
  <si>
    <t>Tilskudd til aktive</t>
  </si>
  <si>
    <t>Innkjøp salgsvarer</t>
  </si>
  <si>
    <t>Andre anleggsutgifter</t>
  </si>
  <si>
    <t>Reklamekostnader</t>
  </si>
  <si>
    <t>Kontingent, fradragsberettiget</t>
  </si>
  <si>
    <t>Provisjon/transaksjonsgebyr Spond</t>
  </si>
  <si>
    <t>01</t>
  </si>
  <si>
    <t>Mars</t>
  </si>
  <si>
    <t>05</t>
  </si>
  <si>
    <t>09</t>
  </si>
  <si>
    <t>12</t>
  </si>
  <si>
    <t>Salg heiskort/utleie heis avgiftspliktig, lav sats</t>
  </si>
  <si>
    <t>Andre inntekter</t>
  </si>
  <si>
    <t>Dugnader</t>
  </si>
  <si>
    <t>Frakt, toll og spedisjon</t>
  </si>
  <si>
    <t>Emballasjematerialer</t>
  </si>
  <si>
    <t>Renovasjon</t>
  </si>
  <si>
    <t>Varige investeringer - heis</t>
  </si>
  <si>
    <t>Inventar</t>
  </si>
  <si>
    <t>Diesel</t>
  </si>
  <si>
    <t>Bank- og kortgebyr</t>
  </si>
  <si>
    <t>Diverse andre kostnader</t>
  </si>
  <si>
    <t>Resultat etter finans</t>
  </si>
  <si>
    <t>SUM SKATTER, DISPONERINGER MV.</t>
  </si>
  <si>
    <t>September</t>
  </si>
  <si>
    <t>Rapportperiode</t>
  </si>
  <si>
    <t>endring i fjor</t>
  </si>
  <si>
    <t>Kiosksalg Hovdebakken, avgiftsfritt utenfor avg.området</t>
  </si>
  <si>
    <t>Varekostnad Sponsortrykk og skilt</t>
  </si>
  <si>
    <t>Programvare årlig vedlikehold</t>
  </si>
  <si>
    <t>Juli</t>
  </si>
  <si>
    <t>August</t>
  </si>
  <si>
    <t>Desember</t>
  </si>
  <si>
    <t>Avgiftspliktig salg</t>
  </si>
  <si>
    <t>Startkontingenter</t>
  </si>
  <si>
    <t>Grunnlag MVA innførsel varer, høy sats kredit</t>
  </si>
  <si>
    <t>Utgifter egne arrangement</t>
  </si>
  <si>
    <t>Annet driftsmateriale</t>
  </si>
  <si>
    <t>Internett</t>
  </si>
  <si>
    <t>Provisjon Vipps</t>
  </si>
  <si>
    <t>Gebyr Buypass</t>
  </si>
  <si>
    <t>Kjøredato</t>
  </si>
  <si>
    <t>Avvik</t>
  </si>
  <si>
    <t>SUM INNTEKTER</t>
  </si>
  <si>
    <t>SUM ANDRE KOSTNADER</t>
  </si>
  <si>
    <t>Periodisert inntekt</t>
  </si>
  <si>
    <t>Kjøp klubbjakker</t>
  </si>
  <si>
    <t>Innkjøp utstyr</t>
  </si>
  <si>
    <t>Grunnlag MVA innførsel varer, høy sats debet</t>
  </si>
  <si>
    <t>Drift vedl. bygn. A</t>
  </si>
  <si>
    <t>Kontorrekvisita</t>
  </si>
  <si>
    <t>Møtekostnader (ikke styre-m.m)</t>
  </si>
  <si>
    <t>Sesongavslutning</t>
  </si>
  <si>
    <t>Mobiltelefon</t>
  </si>
  <si>
    <t>Renteinntekt bankinnskudd/post</t>
  </si>
  <si>
    <t>budsjett</t>
  </si>
  <si>
    <t>02</t>
  </si>
  <si>
    <t>06</t>
  </si>
  <si>
    <t>Kostnader skiskole</t>
  </si>
  <si>
    <t>Øreavrunding</t>
  </si>
  <si>
    <t>Resultat hittil</t>
  </si>
  <si>
    <t>Tilskudd fra NIF</t>
  </si>
  <si>
    <t>Skiarrangement</t>
  </si>
  <si>
    <t>Aktivitetsuke, avgiftsfritt utenfor avg. området</t>
  </si>
  <si>
    <t>Mva kompensasjon</t>
  </si>
  <si>
    <t>Avskrivning driftsløsøre</t>
  </si>
  <si>
    <t>Regnskapshonorar</t>
  </si>
  <si>
    <t>RESULTATOVERSIKT MOT BUDSJETT</t>
  </si>
  <si>
    <t>Denne periode</t>
  </si>
  <si>
    <t>Gjøvik Skiklubb</t>
  </si>
  <si>
    <t>Avgiftspliktig salg høy sats</t>
  </si>
  <si>
    <t>Sponsorinntekt fritt</t>
  </si>
  <si>
    <t>Stønad til ulike prosjekter</t>
  </si>
  <si>
    <t>Dir. utg. vedr. trenersid</t>
  </si>
  <si>
    <t>Annen leiekostnad</t>
  </si>
  <si>
    <t>Alpint</t>
  </si>
  <si>
    <t>Endring</t>
  </si>
  <si>
    <t>Mai</t>
  </si>
  <si>
    <t>Oktober</t>
  </si>
  <si>
    <t>Utleie Hovdebakken, avgiftspliktig lav sats</t>
  </si>
  <si>
    <t>Aktivitetsuke Alpint</t>
  </si>
  <si>
    <t>Administrasjonskostnader</t>
  </si>
  <si>
    <t>Telefon</t>
  </si>
  <si>
    <t>Kontingenter</t>
  </si>
  <si>
    <t>Annen finansinntekt</t>
  </si>
  <si>
    <t>Valutatap (disagio)</t>
  </si>
  <si>
    <t>Totalt for alle avdelinger</t>
  </si>
  <si>
    <t>I fjor</t>
  </si>
  <si>
    <t>Eiendeler</t>
  </si>
  <si>
    <t>Ikke bokført resultat</t>
  </si>
  <si>
    <t>Januar</t>
  </si>
  <si>
    <t>03</t>
  </si>
  <si>
    <t>07</t>
  </si>
  <si>
    <t>10</t>
  </si>
  <si>
    <t>Salg av kalendere</t>
  </si>
  <si>
    <t>Utg. Marken</t>
  </si>
  <si>
    <t>Samlinger</t>
  </si>
  <si>
    <t>Kjøp forbruksvarer</t>
  </si>
  <si>
    <t>Lønn til ansatte</t>
  </si>
  <si>
    <t>Feriepenger</t>
  </si>
  <si>
    <t>Snøproduksjon</t>
  </si>
  <si>
    <t>Drift og vedlikehold</t>
  </si>
  <si>
    <t>Forsikringspremier</t>
  </si>
  <si>
    <t>Provisjon Pay Pal</t>
  </si>
  <si>
    <t>Sponsorinntekt avgiftspliktig, høy sats</t>
  </si>
  <si>
    <t>Salgsinntekt utenfor området</t>
  </si>
  <si>
    <t>Egenandel samlinger</t>
  </si>
  <si>
    <t>Andre treningskostnader</t>
  </si>
  <si>
    <t>Tilskudd langrennsutvalg</t>
  </si>
  <si>
    <t>Gebyr buypass</t>
  </si>
  <si>
    <t>Renter/provisjon kassekreditt</t>
  </si>
  <si>
    <t>Rapport pr:</t>
  </si>
  <si>
    <t>Kostnader</t>
  </si>
  <si>
    <t>Egenkapital og gjeld</t>
  </si>
  <si>
    <t>Juni</t>
  </si>
  <si>
    <t>Treningsavg. Team m/mer</t>
  </si>
  <si>
    <t>Løypepreparering</t>
  </si>
  <si>
    <t>Gjøvik Marken, avgiftsfritt dugnadsarbeid</t>
  </si>
  <si>
    <t>Diverse utg. langrenn</t>
  </si>
  <si>
    <t>Drift/vedlikehold heis</t>
  </si>
  <si>
    <t>Drift hovdebakken</t>
  </si>
  <si>
    <t>Drift/vedlikeh. scooter</t>
  </si>
  <si>
    <t>REGNSKAP</t>
  </si>
  <si>
    <t>BUDSJETT</t>
  </si>
  <si>
    <t>2025</t>
  </si>
  <si>
    <t xml:space="preserve">BUDSJETT </t>
  </si>
  <si>
    <t>Samlet</t>
  </si>
  <si>
    <t>Hovedstyret</t>
  </si>
  <si>
    <t>Budsjett 2025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</si>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</sst>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/m/yyyy;@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 tint="0.149967955565050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4" fontId="0" fillId="2" borderId="1" xfId="0" applyNumberFormat="1" applyFill="1" applyBorder="1"/>
    <xf numFmtId="0" fontId="0" fillId="0" borderId="2" xfId="0" applyBorder="1"/>
    <xf numFmtId="4" fontId="1" fillId="2" borderId="1" xfId="0" applyNumberFormat="1" applyFont="1" applyFill="1" applyBorder="1"/>
    <xf numFmtId="4" fontId="0" fillId="3" borderId="2" xfId="0" applyNumberFormat="1" applyFill="1" applyBorder="1"/>
    <xf numFmtId="0" fontId="1" fillId="0" borderId="2" xfId="0" applyFont="1" applyBorder="1"/>
    <xf numFmtId="4" fontId="0" fillId="4" borderId="1" xfId="0" applyNumberFormat="1" applyFill="1" applyBorder="1"/>
    <xf numFmtId="4" fontId="0" fillId="4" borderId="2" xfId="0" applyNumberFormat="1" applyFill="1" applyBorder="1"/>
    <xf numFmtId="4" fontId="0" fillId="3" borderId="0" xfId="0" applyNumberFormat="1" applyFill="1"/>
    <xf numFmtId="4" fontId="0" fillId="5" borderId="0" xfId="0" applyNumberFormat="1" applyFill="1"/>
    <xf numFmtId="4" fontId="0" fillId="4" borderId="0" xfId="0" applyNumberFormat="1" applyFill="1"/>
    <xf numFmtId="4" fontId="0" fillId="0" borderId="0" xfId="0" applyNumberFormat="1"/>
    <xf numFmtId="4" fontId="1" fillId="3" borderId="2" xfId="0" applyNumberFormat="1" applyFont="1" applyFill="1" applyBorder="1"/>
    <xf numFmtId="4" fontId="0" fillId="3" borderId="4" xfId="0" applyNumberFormat="1" applyFill="1" applyBorder="1"/>
    <xf numFmtId="0" fontId="1" fillId="0" borderId="5" xfId="0" applyFont="1" applyBorder="1"/>
    <xf numFmtId="3" fontId="0" fillId="3" borderId="2" xfId="0" applyNumberFormat="1" applyFill="1" applyBorder="1"/>
    <xf numFmtId="0" fontId="1" fillId="0" borderId="7" xfId="0" applyFont="1" applyBorder="1"/>
    <xf numFmtId="4" fontId="1" fillId="2" borderId="1" xfId="0" applyNumberFormat="1" applyFont="1" applyFill="1" applyBorder="1" applyAlignment="1">
      <alignment horizontal="right"/>
    </xf>
    <xf numFmtId="4" fontId="1" fillId="4" borderId="2" xfId="0" applyNumberFormat="1" applyFont="1" applyFill="1" applyBorder="1"/>
    <xf numFmtId="0" fontId="1" fillId="0" borderId="8" xfId="0" applyFont="1" applyBorder="1"/>
    <xf numFmtId="0" fontId="1" fillId="0" borderId="9" xfId="0" applyFont="1" applyBorder="1"/>
    <xf numFmtId="4" fontId="1" fillId="4" borderId="1" xfId="0" applyNumberFormat="1" applyFont="1" applyFill="1" applyBorder="1"/>
    <xf numFmtId="4" fontId="1" fillId="2" borderId="10" xfId="0" applyNumberFormat="1" applyFont="1" applyFill="1" applyBorder="1" applyAlignment="1">
      <alignment horizontal="right"/>
    </xf>
    <xf numFmtId="4" fontId="1" fillId="3" borderId="0" xfId="0" applyNumberFormat="1" applyFont="1" applyFill="1"/>
    <xf numFmtId="4" fontId="1" fillId="2" borderId="11" xfId="0" applyNumberFormat="1" applyFont="1" applyFill="1" applyBorder="1" applyAlignment="1">
      <alignment horizontal="right"/>
    </xf>
    <xf numFmtId="4" fontId="1" fillId="5" borderId="0" xfId="0" applyNumberFormat="1" applyFont="1" applyFill="1"/>
    <xf numFmtId="4" fontId="0" fillId="5" borderId="12" xfId="0" applyNumberFormat="1" applyFill="1" applyBorder="1"/>
    <xf numFmtId="3" fontId="1" fillId="3" borderId="8" xfId="0" applyNumberFormat="1" applyFont="1" applyFill="1" applyBorder="1"/>
    <xf numFmtId="4" fontId="1" fillId="4" borderId="0" xfId="0" applyNumberFormat="1" applyFont="1" applyFill="1"/>
    <xf numFmtId="0" fontId="1" fillId="0" borderId="14" xfId="0" applyFont="1" applyBorder="1"/>
    <xf numFmtId="3" fontId="1" fillId="3" borderId="15" xfId="0" applyNumberFormat="1" applyFont="1" applyFill="1" applyBorder="1"/>
    <xf numFmtId="165" fontId="0" fillId="0" borderId="0" xfId="0" applyNumberFormat="1"/>
    <xf numFmtId="0" fontId="0" fillId="6" borderId="0" xfId="0" applyFill="1"/>
    <xf numFmtId="4" fontId="0" fillId="0" borderId="0" xfId="0" applyNumberFormat="1" applyAlignment="1">
      <alignment horizontal="right"/>
    </xf>
    <xf numFmtId="49" fontId="0" fillId="6" borderId="0" xfId="0" applyNumberFormat="1" applyFill="1"/>
    <xf numFmtId="0" fontId="2" fillId="0" borderId="0" xfId="0" applyFont="1"/>
    <xf numFmtId="0" fontId="1" fillId="0" borderId="17" xfId="0" applyFont="1" applyBorder="1"/>
    <xf numFmtId="4" fontId="1" fillId="3" borderId="4" xfId="0" applyNumberFormat="1" applyFont="1" applyFill="1" applyBorder="1"/>
    <xf numFmtId="4" fontId="3" fillId="0" borderId="0" xfId="0" applyNumberFormat="1" applyFont="1" applyAlignment="1">
      <alignment horizontal="right"/>
    </xf>
    <xf numFmtId="4" fontId="1" fillId="2" borderId="3" xfId="0" applyNumberFormat="1" applyFont="1" applyFill="1" applyBorder="1"/>
    <xf numFmtId="0" fontId="1" fillId="0" borderId="18" xfId="0" applyFont="1" applyBorder="1"/>
    <xf numFmtId="4" fontId="1" fillId="3" borderId="17" xfId="0" applyNumberFormat="1" applyFont="1" applyFill="1" applyBorder="1" applyAlignment="1">
      <alignment horizontal="right"/>
    </xf>
    <xf numFmtId="0" fontId="1" fillId="0" borderId="19" xfId="0" applyFont="1" applyBorder="1"/>
    <xf numFmtId="0" fontId="0" fillId="0" borderId="16" xfId="0" applyBorder="1"/>
    <xf numFmtId="0" fontId="1" fillId="0" borderId="16" xfId="0" applyFont="1" applyBorder="1"/>
    <xf numFmtId="0" fontId="0" fillId="0" borderId="15" xfId="0" applyBorder="1"/>
    <xf numFmtId="4" fontId="1" fillId="3" borderId="9" xfId="0" applyNumberFormat="1" applyFont="1" applyFill="1" applyBorder="1" applyAlignment="1">
      <alignment horizontal="right"/>
    </xf>
    <xf numFmtId="0" fontId="1" fillId="0" borderId="15" xfId="0" applyFont="1" applyBorder="1"/>
    <xf numFmtId="4" fontId="1" fillId="3" borderId="2" xfId="0" applyNumberFormat="1" applyFont="1" applyFill="1" applyBorder="1" applyAlignment="1">
      <alignment horizontal="right"/>
    </xf>
    <xf numFmtId="4" fontId="1" fillId="3" borderId="0" xfId="0" applyNumberFormat="1" applyFont="1" applyFill="1" applyAlignment="1">
      <alignment horizontal="right"/>
    </xf>
    <xf numFmtId="4" fontId="1" fillId="3" borderId="20" xfId="0" applyNumberFormat="1" applyFont="1" applyFill="1" applyBorder="1" applyAlignment="1">
      <alignment horizontal="right"/>
    </xf>
    <xf numFmtId="4" fontId="4" fillId="0" borderId="0" xfId="0" applyNumberFormat="1" applyFont="1"/>
    <xf numFmtId="4" fontId="1" fillId="3" borderId="14" xfId="0" applyNumberFormat="1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3" fontId="1" fillId="3" borderId="9" xfId="0" applyNumberFormat="1" applyFont="1" applyFill="1" applyBorder="1"/>
    <xf numFmtId="4" fontId="1" fillId="3" borderId="5" xfId="0" applyNumberFormat="1" applyFont="1" applyFill="1" applyBorder="1" applyAlignment="1">
      <alignment horizontal="right"/>
    </xf>
    <xf numFmtId="4" fontId="1" fillId="5" borderId="5" xfId="0" applyNumberFormat="1" applyFont="1" applyFill="1" applyBorder="1" applyAlignment="1">
      <alignment horizontal="right"/>
    </xf>
    <xf numFmtId="3" fontId="1" fillId="3" borderId="19" xfId="0" applyNumberFormat="1" applyFont="1" applyFill="1" applyBorder="1"/>
    <xf numFmtId="0" fontId="1" fillId="4" borderId="1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7" xfId="0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" fontId="1" fillId="5" borderId="12" xfId="0" applyNumberFormat="1" applyFont="1" applyFill="1" applyBorder="1"/>
    <xf numFmtId="1" fontId="1" fillId="5" borderId="14" xfId="0" applyNumberFormat="1" applyFont="1" applyFill="1" applyBorder="1" applyAlignment="1">
      <alignment horizontal="right"/>
    </xf>
    <xf numFmtId="0" fontId="1" fillId="4" borderId="2" xfId="0" applyFont="1" applyFill="1" applyBorder="1"/>
    <xf numFmtId="4" fontId="1" fillId="5" borderId="0" xfId="0" applyNumberFormat="1" applyFont="1" applyFill="1" applyAlignment="1">
      <alignment horizontal="right"/>
    </xf>
    <xf numFmtId="4" fontId="1" fillId="2" borderId="6" xfId="0" applyNumberFormat="1" applyFont="1" applyFill="1" applyBorder="1"/>
    <xf numFmtId="4" fontId="1" fillId="3" borderId="21" xfId="0" applyNumberFormat="1" applyFont="1" applyFill="1" applyBorder="1" applyAlignment="1">
      <alignment horizontal="right"/>
    </xf>
    <xf numFmtId="4" fontId="0" fillId="2" borderId="22" xfId="0" applyNumberFormat="1" applyFill="1" applyBorder="1"/>
    <xf numFmtId="3" fontId="1" fillId="4" borderId="16" xfId="0" applyNumberFormat="1" applyFont="1" applyFill="1" applyBorder="1"/>
    <xf numFmtId="4" fontId="3" fillId="0" borderId="0" xfId="0" applyNumberFormat="1" applyFont="1"/>
    <xf numFmtId="0" fontId="1" fillId="4" borderId="0" xfId="0" applyFont="1" applyFill="1"/>
    <xf numFmtId="0" fontId="1" fillId="4" borderId="5" xfId="0" applyFont="1" applyFill="1" applyBorder="1" applyAlignment="1">
      <alignment horizontal="right"/>
    </xf>
    <xf numFmtId="4" fontId="1" fillId="4" borderId="7" xfId="0" applyNumberFormat="1" applyFont="1" applyFill="1" applyBorder="1"/>
    <xf numFmtId="0" fontId="1" fillId="4" borderId="14" xfId="0" applyFont="1" applyFill="1" applyBorder="1" applyAlignment="1">
      <alignment horizontal="right"/>
    </xf>
    <xf numFmtId="4" fontId="1" fillId="2" borderId="10" xfId="0" applyNumberFormat="1" applyFont="1" applyFill="1" applyBorder="1"/>
    <xf numFmtId="3" fontId="1" fillId="4" borderId="7" xfId="0" applyNumberFormat="1" applyFont="1" applyFill="1" applyBorder="1"/>
    <xf numFmtId="4" fontId="1" fillId="4" borderId="16" xfId="0" applyNumberFormat="1" applyFont="1" applyFill="1" applyBorder="1"/>
    <xf numFmtId="4" fontId="0" fillId="3" borderId="12" xfId="0" applyNumberFormat="1" applyFill="1" applyBorder="1"/>
    <xf numFmtId="4" fontId="1" fillId="3" borderId="8" xfId="0" applyNumberFormat="1" applyFont="1" applyFill="1" applyBorder="1"/>
    <xf numFmtId="4" fontId="1" fillId="2" borderId="13" xfId="0" applyNumberFormat="1" applyFont="1" applyFill="1" applyBorder="1"/>
    <xf numFmtId="4" fontId="1" fillId="3" borderId="23" xfId="0" applyNumberFormat="1" applyFont="1" applyFill="1" applyBorder="1"/>
    <xf numFmtId="0" fontId="1" fillId="0" borderId="24" xfId="0" applyFont="1" applyBorder="1"/>
    <xf numFmtId="4" fontId="1" fillId="3" borderId="15" xfId="0" applyNumberFormat="1" applyFont="1" applyFill="1" applyBorder="1"/>
    <xf numFmtId="4" fontId="1" fillId="3" borderId="25" xfId="0" applyNumberFormat="1" applyFont="1" applyFill="1" applyBorder="1"/>
    <xf numFmtId="166" fontId="0" fillId="0" borderId="0" xfId="1" applyNumberFormat="1" applyFont="1" applyBorder="1"/>
    <xf numFmtId="4" fontId="1" fillId="5" borderId="16" xfId="0" applyNumberFormat="1" applyFont="1" applyFill="1" applyBorder="1"/>
    <xf numFmtId="16" fontId="1" fillId="0" borderId="14" xfId="0" applyNumberFormat="1" applyFont="1" applyBorder="1"/>
    <xf numFmtId="4" fontId="1" fillId="3" borderId="7" xfId="0" applyNumberFormat="1" applyFont="1" applyFill="1" applyBorder="1"/>
    <xf numFmtId="4" fontId="0" fillId="2" borderId="6" xfId="0" applyNumberFormat="1" applyFill="1" applyBorder="1"/>
    <xf numFmtId="4" fontId="1" fillId="3" borderId="12" xfId="0" applyNumberFormat="1" applyFont="1" applyFill="1" applyBorder="1" applyAlignment="1">
      <alignment horizontal="right"/>
    </xf>
    <xf numFmtId="4" fontId="1" fillId="4" borderId="18" xfId="0" applyNumberFormat="1" applyFont="1" applyFill="1" applyBorder="1"/>
    <xf numFmtId="4" fontId="1" fillId="3" borderId="16" xfId="0" applyNumberFormat="1" applyFont="1" applyFill="1" applyBorder="1"/>
    <xf numFmtId="4" fontId="1" fillId="2" borderId="22" xfId="0" applyNumberFormat="1" applyFont="1" applyFill="1" applyBorder="1" applyAlignment="1">
      <alignment horizontal="right"/>
    </xf>
    <xf numFmtId="1" fontId="1" fillId="5" borderId="26" xfId="0" applyNumberFormat="1" applyFont="1" applyFill="1" applyBorder="1" applyAlignment="1">
      <alignment horizontal="right"/>
    </xf>
    <xf numFmtId="0" fontId="1" fillId="0" borderId="27" xfId="0" applyFont="1" applyBorder="1"/>
    <xf numFmtId="4" fontId="1" fillId="2" borderId="28" xfId="0" applyNumberFormat="1" applyFont="1" applyFill="1" applyBorder="1" applyAlignment="1">
      <alignment horizontal="right"/>
    </xf>
    <xf numFmtId="4" fontId="1" fillId="5" borderId="12" xfId="0" applyNumberFormat="1" applyFont="1" applyFill="1" applyBorder="1" applyAlignment="1">
      <alignment horizontal="right"/>
    </xf>
    <xf numFmtId="4" fontId="1" fillId="5" borderId="29" xfId="0" applyNumberFormat="1" applyFont="1" applyFill="1" applyBorder="1" applyAlignment="1">
      <alignment horizontal="right"/>
    </xf>
    <xf numFmtId="4" fontId="1" fillId="3" borderId="9" xfId="0" applyNumberFormat="1" applyFont="1" applyFill="1" applyBorder="1"/>
    <xf numFmtId="4" fontId="1" fillId="5" borderId="7" xfId="0" applyNumberFormat="1" applyFont="1" applyFill="1" applyBorder="1"/>
    <xf numFmtId="3" fontId="1" fillId="4" borderId="5" xfId="0" applyNumberFormat="1" applyFont="1" applyFill="1" applyBorder="1"/>
    <xf numFmtId="4" fontId="1" fillId="5" borderId="30" xfId="0" applyNumberFormat="1" applyFont="1" applyFill="1" applyBorder="1"/>
    <xf numFmtId="4" fontId="1" fillId="2" borderId="31" xfId="0" applyNumberFormat="1" applyFont="1" applyFill="1" applyBorder="1" applyAlignment="1">
      <alignment horizontal="right"/>
    </xf>
    <xf numFmtId="4" fontId="1" fillId="3" borderId="12" xfId="0" applyNumberFormat="1" applyFont="1" applyFill="1" applyBorder="1"/>
    <xf numFmtId="4" fontId="1" fillId="3" borderId="26" xfId="0" applyNumberFormat="1" applyFont="1" applyFill="1" applyBorder="1" applyAlignment="1">
      <alignment horizontal="right"/>
    </xf>
    <xf numFmtId="4" fontId="1" fillId="2" borderId="22" xfId="0" applyNumberFormat="1" applyFont="1" applyFill="1" applyBorder="1"/>
    <xf numFmtId="4" fontId="1" fillId="4" borderId="6" xfId="0" applyNumberFormat="1" applyFont="1" applyFill="1" applyBorder="1"/>
    <xf numFmtId="4" fontId="1" fillId="3" borderId="19" xfId="0" applyNumberFormat="1" applyFont="1" applyFill="1" applyBorder="1"/>
    <xf numFmtId="4" fontId="1" fillId="4" borderId="8" xfId="0" applyNumberFormat="1" applyFont="1" applyFill="1" applyBorder="1"/>
    <xf numFmtId="4" fontId="1" fillId="4" borderId="3" xfId="0" applyNumberFormat="1" applyFont="1" applyFill="1" applyBorder="1"/>
    <xf numFmtId="3" fontId="1" fillId="4" borderId="18" xfId="0" applyNumberFormat="1" applyFont="1" applyFill="1" applyBorder="1"/>
    <xf numFmtId="4" fontId="1" fillId="4" borderId="15" xfId="0" applyNumberFormat="1" applyFont="1" applyFill="1" applyBorder="1"/>
    <xf numFmtId="4" fontId="1" fillId="3" borderId="29" xfId="0" applyNumberFormat="1" applyFont="1" applyFill="1" applyBorder="1" applyAlignment="1">
      <alignment horizontal="right"/>
    </xf>
    <xf numFmtId="4" fontId="1" fillId="4" borderId="5" xfId="0" applyNumberFormat="1" applyFont="1" applyFill="1" applyBorder="1"/>
    <xf numFmtId="4" fontId="1" fillId="4" borderId="19" xfId="0" applyNumberFormat="1" applyFont="1" applyFill="1" applyBorder="1"/>
    <xf numFmtId="4" fontId="1" fillId="2" borderId="33" xfId="0" applyNumberFormat="1" applyFont="1" applyFill="1" applyBorder="1"/>
    <xf numFmtId="4" fontId="1" fillId="5" borderId="35" xfId="0" applyNumberFormat="1" applyFont="1" applyFill="1" applyBorder="1"/>
    <xf numFmtId="4" fontId="1" fillId="5" borderId="36" xfId="0" applyNumberFormat="1" applyFont="1" applyFill="1" applyBorder="1"/>
    <xf numFmtId="4" fontId="1" fillId="5" borderId="18" xfId="0" applyNumberFormat="1" applyFont="1" applyFill="1" applyBorder="1"/>
    <xf numFmtId="4" fontId="0" fillId="3" borderId="15" xfId="0" applyNumberFormat="1" applyFill="1" applyBorder="1"/>
    <xf numFmtId="3" fontId="0" fillId="3" borderId="15" xfId="0" applyNumberFormat="1" applyFill="1" applyBorder="1"/>
    <xf numFmtId="4" fontId="0" fillId="5" borderId="35" xfId="0" applyNumberFormat="1" applyFill="1" applyBorder="1"/>
    <xf numFmtId="4" fontId="1" fillId="5" borderId="5" xfId="0" applyNumberFormat="1" applyFont="1" applyFill="1" applyBorder="1"/>
    <xf numFmtId="4" fontId="1" fillId="3" borderId="30" xfId="0" applyNumberFormat="1" applyFont="1" applyFill="1" applyBorder="1"/>
    <xf numFmtId="4" fontId="1" fillId="3" borderId="38" xfId="0" applyNumberFormat="1" applyFont="1" applyFill="1" applyBorder="1"/>
    <xf numFmtId="4" fontId="1" fillId="0" borderId="24" xfId="0" applyNumberFormat="1" applyFont="1" applyBorder="1"/>
    <xf numFmtId="4" fontId="1" fillId="3" borderId="21" xfId="0" applyNumberFormat="1" applyFont="1" applyFill="1" applyBorder="1"/>
    <xf numFmtId="4" fontId="1" fillId="4" borderId="10" xfId="0" applyNumberFormat="1" applyFont="1" applyFill="1" applyBorder="1"/>
    <xf numFmtId="4" fontId="1" fillId="2" borderId="39" xfId="0" applyNumberFormat="1" applyFont="1" applyFill="1" applyBorder="1"/>
    <xf numFmtId="4" fontId="0" fillId="3" borderId="32" xfId="0" applyNumberFormat="1" applyFill="1" applyBorder="1"/>
    <xf numFmtId="4" fontId="1" fillId="0" borderId="7" xfId="1" applyNumberFormat="1" applyFont="1" applyBorder="1"/>
    <xf numFmtId="4" fontId="1" fillId="3" borderId="37" xfId="0" applyNumberFormat="1" applyFont="1" applyFill="1" applyBorder="1"/>
    <xf numFmtId="4" fontId="1" fillId="3" borderId="5" xfId="0" applyNumberFormat="1" applyFont="1" applyFill="1" applyBorder="1"/>
    <xf numFmtId="4" fontId="1" fillId="4" borderId="13" xfId="0" applyNumberFormat="1" applyFont="1" applyFill="1" applyBorder="1"/>
    <xf numFmtId="4" fontId="1" fillId="3" borderId="18" xfId="0" applyNumberFormat="1" applyFont="1" applyFill="1" applyBorder="1"/>
    <xf numFmtId="4" fontId="1" fillId="5" borderId="29" xfId="0" applyNumberFormat="1" applyFont="1" applyFill="1" applyBorder="1"/>
    <xf numFmtId="4" fontId="1" fillId="2" borderId="34" xfId="0" applyNumberFormat="1" applyFont="1" applyFill="1" applyBorder="1"/>
    <xf numFmtId="4" fontId="1" fillId="4" borderId="9" xfId="0" applyNumberFormat="1" applyFont="1" applyFill="1" applyBorder="1"/>
    <xf numFmtId="4" fontId="1" fillId="3" borderId="32" xfId="0" applyNumberFormat="1" applyFont="1" applyFill="1" applyBorder="1"/>
    <xf numFmtId="49" fontId="1" fillId="3" borderId="9" xfId="0" applyNumberFormat="1" applyFont="1" applyFill="1" applyBorder="1" applyAlignment="1">
      <alignment horizontal="right"/>
    </xf>
    <xf numFmtId="0" fontId="3" fillId="0" borderId="0" xfId="0" applyFont="1"/>
    <xf numFmtId="3" fontId="0" fillId="4" borderId="4" xfId="0" applyNumberFormat="1" applyFill="1" applyBorder="1"/>
    <xf numFmtId="3" fontId="1" fillId="4" borderId="23" xfId="0" applyNumberFormat="1" applyFont="1" applyFill="1" applyBorder="1"/>
    <xf numFmtId="3" fontId="1" fillId="4" borderId="32" xfId="0" applyNumberFormat="1" applyFont="1" applyFill="1" applyBorder="1"/>
    <xf numFmtId="3" fontId="1" fillId="4" borderId="21" xfId="0" applyNumberFormat="1" applyFont="1" applyFill="1" applyBorder="1"/>
    <xf numFmtId="3" fontId="0" fillId="4" borderId="32" xfId="0" applyNumberFormat="1" applyFill="1" applyBorder="1"/>
    <xf numFmtId="4" fontId="1" fillId="4" borderId="0" xfId="0" applyNumberFormat="1" applyFont="1" applyFill="1" applyAlignment="1">
      <alignment horizontal="right"/>
    </xf>
    <xf numFmtId="49" fontId="1" fillId="4" borderId="5" xfId="0" applyNumberFormat="1" applyFont="1" applyFill="1" applyBorder="1" applyAlignment="1">
      <alignment horizontal="right"/>
    </xf>
    <xf numFmtId="3" fontId="0" fillId="4" borderId="0" xfId="0" applyNumberFormat="1" applyFill="1"/>
    <xf numFmtId="3" fontId="0" fillId="4" borderId="16" xfId="0" applyNumberFormat="1" applyFill="1" applyBorder="1"/>
    <xf numFmtId="0" fontId="1" fillId="3" borderId="42" xfId="0" applyFont="1" applyFill="1" applyBorder="1"/>
    <xf numFmtId="3" fontId="0" fillId="3" borderId="42" xfId="0" applyNumberFormat="1" applyFill="1" applyBorder="1"/>
    <xf numFmtId="0" fontId="0" fillId="3" borderId="42" xfId="0" applyFill="1" applyBorder="1"/>
    <xf numFmtId="0" fontId="1" fillId="3" borderId="41" xfId="0" applyFont="1" applyFill="1" applyBorder="1" applyAlignment="1">
      <alignment horizontal="right"/>
    </xf>
    <xf numFmtId="0" fontId="1" fillId="4" borderId="32" xfId="0" applyFont="1" applyFill="1" applyBorder="1" applyAlignment="1">
      <alignment horizontal="right"/>
    </xf>
    <xf numFmtId="0" fontId="1" fillId="3" borderId="43" xfId="0" applyFont="1" applyFill="1" applyBorder="1"/>
    <xf numFmtId="0" fontId="1" fillId="4" borderId="21" xfId="0" applyFont="1" applyFill="1" applyBorder="1"/>
    <xf numFmtId="3" fontId="1" fillId="3" borderId="41" xfId="0" applyNumberFormat="1" applyFont="1" applyFill="1" applyBorder="1"/>
    <xf numFmtId="3" fontId="1" fillId="3" borderId="43" xfId="0" applyNumberFormat="1" applyFont="1" applyFill="1" applyBorder="1"/>
    <xf numFmtId="0" fontId="0" fillId="3" borderId="41" xfId="0" applyFill="1" applyBorder="1"/>
    <xf numFmtId="3" fontId="1" fillId="3" borderId="40" xfId="0" applyNumberFormat="1" applyFont="1" applyFill="1" applyBorder="1"/>
    <xf numFmtId="3" fontId="1" fillId="4" borderId="4" xfId="0" applyNumberFormat="1" applyFont="1" applyFill="1" applyBorder="1"/>
    <xf numFmtId="14" fontId="6" fillId="7" borderId="0" xfId="0" applyNumberFormat="1" applyFont="1" applyFill="1" applyAlignment="1">
      <alignment horizontal="right" vertical="center"/>
    </xf>
    <xf numFmtId="0" fontId="0" fillId="0" borderId="0" xfId="0"/>
    <xf numFmtId="0" fontId="3" fillId="0" borderId="4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4" borderId="4" xfId="0" applyNumberFormat="1" applyFon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742949</xdr:colOff>
      <xdr:row>0</xdr:row>
      <xdr:rowOff>0</xdr:rowOff>
    </xdr:from>
    <xdr:to>
      <xdr:col>9</xdr:col>
      <xdr:colOff>57154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724395" y="0"/>
          <a:ext cx="1458268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742949</xdr:colOff>
      <xdr:row>0</xdr:row>
      <xdr:rowOff>0</xdr:rowOff>
    </xdr:from>
    <xdr:to>
      <xdr:col>11</xdr:col>
      <xdr:colOff>552454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844311" y="0"/>
          <a:ext cx="1427509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742949</xdr:colOff>
      <xdr:row>0</xdr:row>
      <xdr:rowOff>0</xdr:rowOff>
    </xdr:from>
    <xdr:to>
      <xdr:col>9</xdr:col>
      <xdr:colOff>57154</xdr:colOff>
      <xdr:row>1</xdr:row>
      <xdr:rowOff>74931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48674" y="0"/>
          <a:ext cx="1458268" cy="266701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73"/>
  <sheetViews>
    <sheetView tabSelected="1" workbookViewId="0">
      <selection activeCell="A5" sqref="A5"/>
    </sheetView>
  </sheetViews>
  <sheetFormatPr baseColWidth="10" defaultColWidth="11.453125" defaultRowHeight="14.5" x14ac:dyDescent="0.35"/>
  <cols>
    <col min="1" max="1" width="10.81640625" customWidth="1"/>
    <col min="2" max="2" width="40.7265625" customWidth="1"/>
    <col min="3" max="4" width="12.6328125" style="12" customWidth="1"/>
    <col min="5" max="10" width="12.6328125" customWidth="1"/>
  </cols>
  <sheetData>
    <row r="3" spans="1:10" ht="26" x14ac:dyDescent="0.6">
      <c r="A3" s="36" t="s">
        <v>109</v>
      </c>
    </row>
    <row r="4" spans="1:10" ht="26" x14ac:dyDescent="0.6">
      <c r="A4" s="36" t="s">
        <v>168</v>
      </c>
    </row>
    <row r="5" spans="1:10" ht="16" thickBot="1" x14ac:dyDescent="0.4">
      <c r="C5" s="165"/>
      <c r="D5" s="166"/>
      <c r="E5" s="166"/>
      <c r="F5" s="166"/>
      <c r="G5" s="166"/>
      <c r="H5" s="166"/>
    </row>
    <row r="6" spans="1:10" s="143" customFormat="1" ht="16" thickBot="1" x14ac:dyDescent="0.4">
      <c r="C6" s="167" t="s">
        <v>166</v>
      </c>
      <c r="D6" s="168"/>
      <c r="E6" s="167" t="s">
        <v>167</v>
      </c>
      <c r="F6" s="168"/>
      <c r="G6" s="167" t="s">
        <v>115</v>
      </c>
      <c r="H6" s="168"/>
      <c r="I6" s="167" t="s">
        <v>24</v>
      </c>
      <c r="J6" s="168"/>
    </row>
    <row r="7" spans="1:10" s="1" customFormat="1" ht="15" thickTop="1" x14ac:dyDescent="0.35">
      <c r="A7" s="37"/>
      <c r="B7" s="30"/>
      <c r="C7" s="49" t="s">
        <v>162</v>
      </c>
      <c r="D7" s="149" t="s">
        <v>163</v>
      </c>
      <c r="E7" s="156" t="s">
        <v>162</v>
      </c>
      <c r="F7" s="157" t="s">
        <v>165</v>
      </c>
      <c r="G7" s="156" t="s">
        <v>162</v>
      </c>
      <c r="H7" s="157" t="s">
        <v>163</v>
      </c>
      <c r="I7" s="156" t="s">
        <v>162</v>
      </c>
      <c r="J7" s="157" t="s">
        <v>163</v>
      </c>
    </row>
    <row r="8" spans="1:10" s="1" customFormat="1" ht="15" thickBot="1" x14ac:dyDescent="0.4">
      <c r="A8" s="21"/>
      <c r="B8" s="15"/>
      <c r="C8" s="142">
        <v>2024</v>
      </c>
      <c r="D8" s="150" t="s">
        <v>164</v>
      </c>
      <c r="E8" s="158">
        <v>2024</v>
      </c>
      <c r="F8" s="159">
        <v>2025</v>
      </c>
      <c r="G8" s="158">
        <v>2024</v>
      </c>
      <c r="H8" s="159">
        <v>2025</v>
      </c>
      <c r="I8" s="158">
        <v>2024</v>
      </c>
      <c r="J8" s="159">
        <v>2025</v>
      </c>
    </row>
    <row r="9" spans="1:10" s="1" customFormat="1" x14ac:dyDescent="0.35">
      <c r="A9" s="6" t="s">
        <v>0</v>
      </c>
      <c r="C9" s="49"/>
      <c r="D9" s="149"/>
      <c r="E9" s="153"/>
      <c r="F9" s="164"/>
      <c r="G9" s="153"/>
      <c r="H9" s="164"/>
      <c r="I9" s="153"/>
      <c r="J9" s="164"/>
    </row>
    <row r="10" spans="1:10" x14ac:dyDescent="0.35">
      <c r="A10" s="3">
        <v>3000</v>
      </c>
      <c r="B10" t="s">
        <v>110</v>
      </c>
      <c r="C10" s="16">
        <f>--52000</f>
        <v>52000</v>
      </c>
      <c r="D10" s="151">
        <f>F10+H10+J10</f>
        <v>0</v>
      </c>
      <c r="E10" s="154">
        <f>--52000</f>
        <v>52000</v>
      </c>
      <c r="F10" s="144"/>
      <c r="G10" s="155"/>
      <c r="H10" s="144"/>
      <c r="I10" s="155"/>
      <c r="J10" s="144"/>
    </row>
    <row r="11" spans="1:10" x14ac:dyDescent="0.35">
      <c r="A11" s="3">
        <v>3005</v>
      </c>
      <c r="B11" t="s">
        <v>119</v>
      </c>
      <c r="C11" s="16">
        <f>--63428.57</f>
        <v>63428.57</v>
      </c>
      <c r="D11" s="151">
        <f t="shared" ref="D11:D39" si="0">F11+H11+J11</f>
        <v>50000</v>
      </c>
      <c r="E11" s="155"/>
      <c r="F11" s="144"/>
      <c r="G11" s="154">
        <f>--63428.57</f>
        <v>63428.57</v>
      </c>
      <c r="H11" s="144">
        <v>50000</v>
      </c>
      <c r="I11" s="155"/>
      <c r="J11" s="144"/>
    </row>
    <row r="12" spans="1:10" x14ac:dyDescent="0.35">
      <c r="A12" s="3">
        <v>3006</v>
      </c>
      <c r="B12" t="s">
        <v>17</v>
      </c>
      <c r="C12" s="16">
        <f>--72643.2</f>
        <v>72643.199999999997</v>
      </c>
      <c r="D12" s="151">
        <f t="shared" si="0"/>
        <v>0</v>
      </c>
      <c r="E12" s="155"/>
      <c r="F12" s="144"/>
      <c r="G12" s="154">
        <f>--72643.2</f>
        <v>72643.199999999997</v>
      </c>
      <c r="H12" s="144"/>
      <c r="I12" s="155"/>
      <c r="J12" s="144"/>
    </row>
    <row r="13" spans="1:10" x14ac:dyDescent="0.35">
      <c r="A13" s="3">
        <v>3010</v>
      </c>
      <c r="B13" t="s">
        <v>73</v>
      </c>
      <c r="C13" s="16">
        <f>--11200</f>
        <v>11200</v>
      </c>
      <c r="D13" s="151">
        <f t="shared" si="0"/>
        <v>10000</v>
      </c>
      <c r="E13" s="155"/>
      <c r="F13" s="144"/>
      <c r="G13" s="155"/>
      <c r="H13" s="144"/>
      <c r="I13" s="154">
        <f>--11200</f>
        <v>11200</v>
      </c>
      <c r="J13" s="144">
        <v>10000</v>
      </c>
    </row>
    <row r="14" spans="1:10" x14ac:dyDescent="0.35">
      <c r="A14" s="3">
        <v>3020</v>
      </c>
      <c r="B14" t="s">
        <v>144</v>
      </c>
      <c r="C14" s="16">
        <f>--287800</f>
        <v>287800</v>
      </c>
      <c r="D14" s="151">
        <f t="shared" si="0"/>
        <v>300000</v>
      </c>
      <c r="E14" s="155"/>
      <c r="F14" s="144"/>
      <c r="G14" s="154">
        <f>--156800</f>
        <v>156800</v>
      </c>
      <c r="H14" s="144">
        <v>150000</v>
      </c>
      <c r="I14" s="154">
        <f>--131000</f>
        <v>131000</v>
      </c>
      <c r="J14" s="144">
        <v>150000</v>
      </c>
    </row>
    <row r="15" spans="1:10" x14ac:dyDescent="0.35">
      <c r="A15" s="3">
        <v>3051</v>
      </c>
      <c r="B15" t="s">
        <v>51</v>
      </c>
      <c r="C15" s="16">
        <f>--823241.3481</f>
        <v>823241.34809999994</v>
      </c>
      <c r="D15" s="151">
        <f t="shared" si="0"/>
        <v>1000000</v>
      </c>
      <c r="E15" s="155"/>
      <c r="F15" s="144"/>
      <c r="G15" s="154">
        <f>--823241.3481</f>
        <v>823241.34809999994</v>
      </c>
      <c r="H15" s="144">
        <v>1000000</v>
      </c>
      <c r="I15" s="155"/>
      <c r="J15" s="144"/>
    </row>
    <row r="16" spans="1:10" x14ac:dyDescent="0.35">
      <c r="A16" s="3">
        <v>3121</v>
      </c>
      <c r="B16" t="s">
        <v>111</v>
      </c>
      <c r="C16" s="16">
        <f>--45000</f>
        <v>45000</v>
      </c>
      <c r="D16" s="151">
        <f t="shared" si="0"/>
        <v>45000</v>
      </c>
      <c r="E16" s="155"/>
      <c r="F16" s="144"/>
      <c r="G16" s="155"/>
      <c r="H16" s="144"/>
      <c r="I16" s="154">
        <f>--45000</f>
        <v>45000</v>
      </c>
      <c r="J16" s="144">
        <v>45000</v>
      </c>
    </row>
    <row r="17" spans="1:10" x14ac:dyDescent="0.35">
      <c r="A17" s="3">
        <v>3200</v>
      </c>
      <c r="B17" t="s">
        <v>145</v>
      </c>
      <c r="C17" s="16">
        <f>--10393</f>
        <v>10393</v>
      </c>
      <c r="D17" s="151">
        <f t="shared" si="0"/>
        <v>10000</v>
      </c>
      <c r="E17" s="155"/>
      <c r="F17" s="144"/>
      <c r="G17" s="155"/>
      <c r="H17" s="144"/>
      <c r="I17" s="154">
        <f>--10393</f>
        <v>10393</v>
      </c>
      <c r="J17" s="144">
        <v>10000</v>
      </c>
    </row>
    <row r="18" spans="1:10" x14ac:dyDescent="0.35">
      <c r="A18" s="3">
        <v>3201</v>
      </c>
      <c r="B18" t="s">
        <v>67</v>
      </c>
      <c r="C18" s="16">
        <f>--124031.41</f>
        <v>124031.41</v>
      </c>
      <c r="D18" s="151">
        <f t="shared" si="0"/>
        <v>125000</v>
      </c>
      <c r="E18" s="155"/>
      <c r="F18" s="144"/>
      <c r="G18" s="154">
        <f>--124031.41</f>
        <v>124031.41</v>
      </c>
      <c r="H18" s="144">
        <v>125000</v>
      </c>
      <c r="I18" s="155"/>
      <c r="J18" s="144"/>
    </row>
    <row r="19" spans="1:10" x14ac:dyDescent="0.35">
      <c r="A19" s="3">
        <v>3210</v>
      </c>
      <c r="B19" t="s">
        <v>101</v>
      </c>
      <c r="C19" s="16">
        <f>--22932</f>
        <v>22932</v>
      </c>
      <c r="D19" s="151">
        <f t="shared" si="0"/>
        <v>20000</v>
      </c>
      <c r="E19" s="154">
        <f>--22932</f>
        <v>22932</v>
      </c>
      <c r="F19" s="144">
        <v>20000</v>
      </c>
      <c r="G19" s="155"/>
      <c r="H19" s="144"/>
      <c r="I19" s="155"/>
      <c r="J19" s="144"/>
    </row>
    <row r="20" spans="1:10" x14ac:dyDescent="0.35">
      <c r="A20" s="3">
        <v>3390</v>
      </c>
      <c r="B20" t="s">
        <v>52</v>
      </c>
      <c r="C20" s="16">
        <f>--15300</f>
        <v>15300</v>
      </c>
      <c r="D20" s="151">
        <f t="shared" si="0"/>
        <v>0</v>
      </c>
      <c r="E20" s="154">
        <f>--15300</f>
        <v>15300</v>
      </c>
      <c r="F20" s="144"/>
      <c r="G20" s="155"/>
      <c r="H20" s="144"/>
      <c r="I20" s="155"/>
      <c r="J20" s="144"/>
    </row>
    <row r="21" spans="1:10" x14ac:dyDescent="0.35">
      <c r="A21" s="3">
        <v>3400</v>
      </c>
      <c r="B21" t="s">
        <v>6</v>
      </c>
      <c r="C21" s="16">
        <f>--205111</f>
        <v>205111</v>
      </c>
      <c r="D21" s="151">
        <f t="shared" si="0"/>
        <v>190000</v>
      </c>
      <c r="E21" s="154">
        <f>--72111</f>
        <v>72111</v>
      </c>
      <c r="F21" s="144">
        <v>50000</v>
      </c>
      <c r="G21" s="154">
        <f>--133000</f>
        <v>133000</v>
      </c>
      <c r="H21" s="144">
        <v>140000</v>
      </c>
      <c r="I21" s="155"/>
      <c r="J21" s="144"/>
    </row>
    <row r="22" spans="1:10" x14ac:dyDescent="0.35">
      <c r="A22" s="3">
        <v>3401</v>
      </c>
      <c r="B22" t="s">
        <v>27</v>
      </c>
      <c r="C22" s="16">
        <f>--129948</f>
        <v>129948</v>
      </c>
      <c r="D22" s="151">
        <f t="shared" si="0"/>
        <v>130000</v>
      </c>
      <c r="E22" s="154">
        <f>--129948</f>
        <v>129948</v>
      </c>
      <c r="F22" s="144">
        <v>130000</v>
      </c>
      <c r="G22" s="155"/>
      <c r="H22" s="144"/>
      <c r="I22" s="155"/>
      <c r="J22" s="144"/>
    </row>
    <row r="23" spans="1:10" x14ac:dyDescent="0.35">
      <c r="A23" s="3">
        <v>3405</v>
      </c>
      <c r="B23" t="s">
        <v>112</v>
      </c>
      <c r="C23" s="16">
        <f>--295250</f>
        <v>295250</v>
      </c>
      <c r="D23" s="151">
        <f t="shared" si="0"/>
        <v>150000</v>
      </c>
      <c r="E23" s="155"/>
      <c r="F23" s="144"/>
      <c r="G23" s="154">
        <f>--190250</f>
        <v>190250</v>
      </c>
      <c r="H23" s="144">
        <v>150000</v>
      </c>
      <c r="I23" s="154">
        <f>--105000</f>
        <v>105000</v>
      </c>
      <c r="J23" s="144">
        <v>0</v>
      </c>
    </row>
    <row r="24" spans="1:10" x14ac:dyDescent="0.35">
      <c r="A24" s="3">
        <v>3406</v>
      </c>
      <c r="B24" t="s">
        <v>36</v>
      </c>
      <c r="C24" s="16">
        <f>--6000</f>
        <v>6000</v>
      </c>
      <c r="D24" s="151">
        <f t="shared" si="0"/>
        <v>6000</v>
      </c>
      <c r="E24" s="155"/>
      <c r="F24" s="144"/>
      <c r="G24" s="155"/>
      <c r="H24" s="144"/>
      <c r="I24" s="154">
        <f>--6000</f>
        <v>6000</v>
      </c>
      <c r="J24" s="144">
        <v>6000</v>
      </c>
    </row>
    <row r="25" spans="1:10" x14ac:dyDescent="0.35">
      <c r="A25" s="3">
        <v>3920</v>
      </c>
      <c r="B25" t="s">
        <v>28</v>
      </c>
      <c r="C25" s="16">
        <f>--77589.34</f>
        <v>77589.34</v>
      </c>
      <c r="D25" s="151">
        <f t="shared" si="0"/>
        <v>80000</v>
      </c>
      <c r="E25" s="154">
        <f>--77589.34</f>
        <v>77589.34</v>
      </c>
      <c r="F25" s="144">
        <v>80000</v>
      </c>
      <c r="G25" s="155"/>
      <c r="H25" s="144"/>
      <c r="I25" s="155"/>
      <c r="J25" s="144"/>
    </row>
    <row r="26" spans="1:10" x14ac:dyDescent="0.35">
      <c r="A26" s="3">
        <v>3921</v>
      </c>
      <c r="B26" t="s">
        <v>18</v>
      </c>
      <c r="C26" s="16">
        <f>--51914.53</f>
        <v>51914.53</v>
      </c>
      <c r="D26" s="151">
        <f t="shared" si="0"/>
        <v>45000</v>
      </c>
      <c r="E26" s="154">
        <f>--51914.53</f>
        <v>51914.53</v>
      </c>
      <c r="F26" s="144">
        <v>45000</v>
      </c>
      <c r="G26" s="155"/>
      <c r="H26" s="144"/>
      <c r="I26" s="155"/>
      <c r="J26" s="144"/>
    </row>
    <row r="27" spans="1:10" x14ac:dyDescent="0.35">
      <c r="A27" s="3">
        <v>3922</v>
      </c>
      <c r="B27" t="s">
        <v>37</v>
      </c>
      <c r="C27" s="16">
        <f>--27240</f>
        <v>27240</v>
      </c>
      <c r="D27" s="151">
        <f t="shared" si="0"/>
        <v>30000</v>
      </c>
      <c r="E27" s="154">
        <f>--27240</f>
        <v>27240</v>
      </c>
      <c r="F27" s="144">
        <v>30000</v>
      </c>
      <c r="G27" s="155"/>
      <c r="H27" s="144"/>
      <c r="I27" s="155"/>
      <c r="J27" s="144"/>
    </row>
    <row r="28" spans="1:10" x14ac:dyDescent="0.35">
      <c r="A28" s="3">
        <v>3930</v>
      </c>
      <c r="B28" t="s">
        <v>38</v>
      </c>
      <c r="C28" s="16">
        <f>--163170.9</f>
        <v>163170.9</v>
      </c>
      <c r="D28" s="151">
        <f t="shared" si="0"/>
        <v>140000</v>
      </c>
      <c r="E28" s="155"/>
      <c r="F28" s="144"/>
      <c r="G28" s="154">
        <f>--122770.9</f>
        <v>122770.9</v>
      </c>
      <c r="H28" s="144">
        <v>100000</v>
      </c>
      <c r="I28" s="154">
        <f>--40400</f>
        <v>40400</v>
      </c>
      <c r="J28" s="144">
        <v>40000</v>
      </c>
    </row>
    <row r="29" spans="1:10" x14ac:dyDescent="0.35">
      <c r="A29" s="3">
        <v>3932</v>
      </c>
      <c r="B29" t="s">
        <v>146</v>
      </c>
      <c r="C29" s="16">
        <f t="shared" ref="C29" si="1">0</f>
        <v>0</v>
      </c>
      <c r="D29" s="151">
        <f t="shared" si="0"/>
        <v>0</v>
      </c>
      <c r="E29" s="155"/>
      <c r="F29" s="144"/>
      <c r="G29" s="155"/>
      <c r="H29" s="144"/>
      <c r="I29" s="155"/>
      <c r="J29" s="144"/>
    </row>
    <row r="30" spans="1:10" x14ac:dyDescent="0.35">
      <c r="A30" s="3">
        <v>3934</v>
      </c>
      <c r="B30" t="s">
        <v>102</v>
      </c>
      <c r="C30" s="16">
        <f>--197690.27</f>
        <v>197690.27</v>
      </c>
      <c r="D30" s="151">
        <f t="shared" si="0"/>
        <v>195000</v>
      </c>
      <c r="E30" s="155"/>
      <c r="F30" s="144"/>
      <c r="G30" s="154">
        <f>--15263.88</f>
        <v>15263.88</v>
      </c>
      <c r="H30" s="144">
        <v>15000</v>
      </c>
      <c r="I30" s="154">
        <f>--182426.39</f>
        <v>182426.39</v>
      </c>
      <c r="J30" s="144">
        <v>180000</v>
      </c>
    </row>
    <row r="31" spans="1:10" x14ac:dyDescent="0.35">
      <c r="A31" s="3">
        <v>3936</v>
      </c>
      <c r="B31" t="s">
        <v>103</v>
      </c>
      <c r="C31" s="16">
        <f>0</f>
        <v>0</v>
      </c>
      <c r="D31" s="151">
        <f t="shared" si="0"/>
        <v>30000</v>
      </c>
      <c r="E31" s="155"/>
      <c r="F31" s="144"/>
      <c r="G31" s="155"/>
      <c r="H31" s="144">
        <v>30000</v>
      </c>
      <c r="I31" s="155"/>
      <c r="J31" s="144"/>
    </row>
    <row r="32" spans="1:10" x14ac:dyDescent="0.35">
      <c r="A32" s="3">
        <v>3960</v>
      </c>
      <c r="B32" t="s">
        <v>53</v>
      </c>
      <c r="C32" s="16">
        <f>--1200</f>
        <v>1200</v>
      </c>
      <c r="D32" s="151">
        <f t="shared" si="0"/>
        <v>0</v>
      </c>
      <c r="E32" s="155"/>
      <c r="F32" s="144"/>
      <c r="G32" s="154">
        <f>--1200</f>
        <v>1200</v>
      </c>
      <c r="H32" s="144"/>
      <c r="I32" s="155"/>
      <c r="J32" s="144"/>
    </row>
    <row r="33" spans="1:10" x14ac:dyDescent="0.35">
      <c r="A33" s="3">
        <v>3962</v>
      </c>
      <c r="B33" t="s">
        <v>157</v>
      </c>
      <c r="C33" s="16">
        <f>--147415</f>
        <v>147415</v>
      </c>
      <c r="D33" s="151">
        <f t="shared" si="0"/>
        <v>155000</v>
      </c>
      <c r="E33" s="155"/>
      <c r="F33" s="144"/>
      <c r="G33" s="154">
        <f>--92415</f>
        <v>92415</v>
      </c>
      <c r="H33" s="144">
        <v>95000</v>
      </c>
      <c r="I33" s="154">
        <f t="shared" ref="I33" si="2">--55000</f>
        <v>55000</v>
      </c>
      <c r="J33" s="144">
        <v>60000</v>
      </c>
    </row>
    <row r="34" spans="1:10" x14ac:dyDescent="0.35">
      <c r="A34" s="3">
        <v>3963</v>
      </c>
      <c r="B34" t="s">
        <v>19</v>
      </c>
      <c r="C34" s="16">
        <f>--8651.55</f>
        <v>8651.5499999999993</v>
      </c>
      <c r="D34" s="151">
        <f t="shared" si="0"/>
        <v>7000</v>
      </c>
      <c r="E34" s="154">
        <f>--999.3</f>
        <v>999.3</v>
      </c>
      <c r="F34" s="144"/>
      <c r="G34" s="154">
        <f>--7145.87</f>
        <v>7145.87</v>
      </c>
      <c r="H34" s="144">
        <v>7000</v>
      </c>
      <c r="I34" s="154">
        <f>--506.38</f>
        <v>506.38</v>
      </c>
      <c r="J34" s="144"/>
    </row>
    <row r="35" spans="1:10" x14ac:dyDescent="0.35">
      <c r="A35" s="3">
        <v>3965</v>
      </c>
      <c r="B35" t="s">
        <v>134</v>
      </c>
      <c r="C35" s="16">
        <f>0</f>
        <v>0</v>
      </c>
      <c r="D35" s="151">
        <f t="shared" si="0"/>
        <v>0</v>
      </c>
      <c r="E35" s="155"/>
      <c r="F35" s="144"/>
      <c r="G35" s="155"/>
      <c r="H35" s="144"/>
      <c r="I35" s="155"/>
      <c r="J35" s="144"/>
    </row>
    <row r="36" spans="1:10" x14ac:dyDescent="0.35">
      <c r="A36" s="3">
        <v>3991</v>
      </c>
      <c r="B36" t="s">
        <v>20</v>
      </c>
      <c r="C36" s="16">
        <f t="shared" ref="C36" si="3">--125000</f>
        <v>125000</v>
      </c>
      <c r="D36" s="151">
        <f t="shared" si="0"/>
        <v>185000</v>
      </c>
      <c r="E36" s="155"/>
      <c r="F36" s="144"/>
      <c r="G36" s="154">
        <f t="shared" ref="G36" si="4">--30000</f>
        <v>30000</v>
      </c>
      <c r="H36" s="144">
        <v>60000</v>
      </c>
      <c r="I36" s="154">
        <f t="shared" ref="I36" si="5">--95000</f>
        <v>95000</v>
      </c>
      <c r="J36" s="144">
        <v>125000</v>
      </c>
    </row>
    <row r="37" spans="1:10" x14ac:dyDescent="0.35">
      <c r="A37" s="3">
        <v>3992</v>
      </c>
      <c r="B37" t="s">
        <v>104</v>
      </c>
      <c r="C37" s="16">
        <f>--227942</f>
        <v>227942</v>
      </c>
      <c r="D37" s="151">
        <f t="shared" si="0"/>
        <v>200000</v>
      </c>
      <c r="E37" s="154">
        <f>--227942</f>
        <v>227942</v>
      </c>
      <c r="F37" s="144">
        <v>200000</v>
      </c>
      <c r="G37" s="155"/>
      <c r="H37" s="144"/>
      <c r="I37" s="155"/>
      <c r="J37" s="144"/>
    </row>
    <row r="38" spans="1:10" x14ac:dyDescent="0.35">
      <c r="A38" s="3">
        <v>3996</v>
      </c>
      <c r="B38" t="s">
        <v>85</v>
      </c>
      <c r="C38" s="16">
        <f t="shared" ref="C38:C39" si="6">0</f>
        <v>0</v>
      </c>
      <c r="D38" s="151">
        <f t="shared" si="0"/>
        <v>0</v>
      </c>
      <c r="E38" s="155"/>
      <c r="F38" s="144"/>
      <c r="G38" s="155"/>
      <c r="H38" s="144"/>
      <c r="I38" s="155"/>
      <c r="J38" s="144"/>
    </row>
    <row r="39" spans="1:10" ht="15" thickBot="1" x14ac:dyDescent="0.4">
      <c r="A39" s="3">
        <v>3999</v>
      </c>
      <c r="B39" t="s">
        <v>39</v>
      </c>
      <c r="C39" s="16">
        <f t="shared" si="6"/>
        <v>0</v>
      </c>
      <c r="D39" s="151">
        <f t="shared" si="0"/>
        <v>0</v>
      </c>
      <c r="E39" s="155"/>
      <c r="F39" s="144"/>
      <c r="G39" s="155"/>
      <c r="H39" s="144"/>
      <c r="I39" s="155"/>
      <c r="J39" s="144"/>
    </row>
    <row r="40" spans="1:10" s="1" customFormat="1" ht="15" thickBot="1" x14ac:dyDescent="0.4">
      <c r="A40" s="20" t="s">
        <v>83</v>
      </c>
      <c r="B40" s="17"/>
      <c r="C40" s="28">
        <f t="shared" ref="C40:J40" si="7">SUM(C10:C39)</f>
        <v>3192092.1180999991</v>
      </c>
      <c r="D40" s="78">
        <f t="shared" si="7"/>
        <v>3103000</v>
      </c>
      <c r="E40" s="163">
        <f t="shared" si="7"/>
        <v>677976.16999999993</v>
      </c>
      <c r="F40" s="78">
        <f t="shared" si="7"/>
        <v>555000</v>
      </c>
      <c r="G40" s="163">
        <f t="shared" si="7"/>
        <v>1832190.1780999999</v>
      </c>
      <c r="H40" s="78">
        <f t="shared" si="7"/>
        <v>1922000</v>
      </c>
      <c r="I40" s="163">
        <f t="shared" si="7"/>
        <v>681925.77</v>
      </c>
      <c r="J40" s="145">
        <f t="shared" si="7"/>
        <v>626000</v>
      </c>
    </row>
    <row r="41" spans="1:10" x14ac:dyDescent="0.35">
      <c r="A41" s="3"/>
      <c r="C41" s="5"/>
      <c r="D41" s="11"/>
      <c r="E41" s="155"/>
      <c r="F41" s="144"/>
      <c r="G41" s="155"/>
      <c r="H41" s="144"/>
      <c r="I41" s="155"/>
      <c r="J41" s="144"/>
    </row>
    <row r="42" spans="1:10" s="1" customFormat="1" x14ac:dyDescent="0.35">
      <c r="A42" s="6" t="s">
        <v>152</v>
      </c>
      <c r="C42" s="13"/>
      <c r="D42" s="29"/>
      <c r="E42" s="153"/>
      <c r="F42" s="164"/>
      <c r="G42" s="153"/>
      <c r="H42" s="164"/>
      <c r="I42" s="153"/>
      <c r="J42" s="164"/>
    </row>
    <row r="43" spans="1:10" x14ac:dyDescent="0.35">
      <c r="A43" s="3">
        <v>4160</v>
      </c>
      <c r="B43" t="s">
        <v>54</v>
      </c>
      <c r="C43" s="16">
        <v>450</v>
      </c>
      <c r="D43" s="151">
        <f>F43+H43+J43</f>
        <v>0</v>
      </c>
      <c r="E43" s="155"/>
      <c r="F43" s="144"/>
      <c r="G43" s="154">
        <v>450</v>
      </c>
      <c r="H43" s="144"/>
      <c r="I43" s="155"/>
      <c r="J43" s="144"/>
    </row>
    <row r="44" spans="1:10" x14ac:dyDescent="0.35">
      <c r="A44" s="3">
        <v>4200</v>
      </c>
      <c r="B44" t="s">
        <v>86</v>
      </c>
      <c r="C44" s="16">
        <v>133183.75</v>
      </c>
      <c r="D44" s="151">
        <f t="shared" ref="D44:D107" si="8">F44+H44+J44</f>
        <v>0</v>
      </c>
      <c r="E44" s="155"/>
      <c r="F44" s="144"/>
      <c r="G44" s="154">
        <v>133183.75</v>
      </c>
      <c r="H44" s="144"/>
      <c r="I44" s="154"/>
      <c r="J44" s="144"/>
    </row>
    <row r="45" spans="1:10" x14ac:dyDescent="0.35">
      <c r="A45" s="3">
        <v>4201</v>
      </c>
      <c r="B45" t="s">
        <v>87</v>
      </c>
      <c r="C45" s="16">
        <v>17400</v>
      </c>
      <c r="D45" s="151">
        <f t="shared" si="8"/>
        <v>65000</v>
      </c>
      <c r="E45" s="154">
        <v>15000</v>
      </c>
      <c r="F45" s="144">
        <v>20000</v>
      </c>
      <c r="G45" s="155"/>
      <c r="H45" s="144">
        <v>20000</v>
      </c>
      <c r="I45" s="154">
        <v>2400</v>
      </c>
      <c r="J45" s="144">
        <v>25000</v>
      </c>
    </row>
    <row r="46" spans="1:10" x14ac:dyDescent="0.35">
      <c r="A46" s="3">
        <v>4206</v>
      </c>
      <c r="B46" t="s">
        <v>135</v>
      </c>
      <c r="C46" s="16">
        <v>51559.68</v>
      </c>
      <c r="D46" s="151">
        <f t="shared" si="8"/>
        <v>57500</v>
      </c>
      <c r="E46" s="155"/>
      <c r="F46" s="144"/>
      <c r="G46" s="154">
        <v>50330.95</v>
      </c>
      <c r="H46" s="144">
        <v>55000</v>
      </c>
      <c r="I46" s="154">
        <v>1228.73</v>
      </c>
      <c r="J46" s="144">
        <v>2500</v>
      </c>
    </row>
    <row r="47" spans="1:10" x14ac:dyDescent="0.35">
      <c r="A47" s="3">
        <v>4207</v>
      </c>
      <c r="B47" t="s">
        <v>98</v>
      </c>
      <c r="C47" s="16"/>
      <c r="D47" s="151">
        <f t="shared" si="8"/>
        <v>4000</v>
      </c>
      <c r="E47" s="155"/>
      <c r="F47" s="144"/>
      <c r="G47" s="155"/>
      <c r="H47" s="144">
        <v>4000</v>
      </c>
      <c r="I47" s="155"/>
      <c r="J47" s="144"/>
    </row>
    <row r="48" spans="1:10" x14ac:dyDescent="0.35">
      <c r="A48" s="3">
        <v>4208</v>
      </c>
      <c r="B48" t="s">
        <v>7</v>
      </c>
      <c r="C48" s="16">
        <v>10000</v>
      </c>
      <c r="D48" s="151">
        <f t="shared" si="8"/>
        <v>10000</v>
      </c>
      <c r="E48" s="155"/>
      <c r="F48" s="144"/>
      <c r="G48" s="154">
        <v>10000</v>
      </c>
      <c r="H48" s="144">
        <v>10000</v>
      </c>
      <c r="I48" s="155"/>
      <c r="J48" s="144"/>
    </row>
    <row r="49" spans="1:10" x14ac:dyDescent="0.35">
      <c r="A49" s="3">
        <v>4210</v>
      </c>
      <c r="B49" t="s">
        <v>74</v>
      </c>
      <c r="C49" s="16">
        <v>156285.25</v>
      </c>
      <c r="D49" s="151">
        <f t="shared" si="8"/>
        <v>160000</v>
      </c>
      <c r="E49" s="155"/>
      <c r="F49" s="144"/>
      <c r="G49" s="154">
        <v>52940</v>
      </c>
      <c r="H49" s="144">
        <v>75000</v>
      </c>
      <c r="I49" s="154">
        <v>103345.25</v>
      </c>
      <c r="J49" s="144">
        <v>85000</v>
      </c>
    </row>
    <row r="50" spans="1:10" x14ac:dyDescent="0.35">
      <c r="A50" s="3">
        <v>4211</v>
      </c>
      <c r="B50" t="s">
        <v>29</v>
      </c>
      <c r="C50" s="16">
        <v>46704.25</v>
      </c>
      <c r="D50" s="151">
        <f t="shared" si="8"/>
        <v>50000</v>
      </c>
      <c r="E50" s="155"/>
      <c r="F50" s="144"/>
      <c r="G50" s="155"/>
      <c r="H50" s="144"/>
      <c r="I50" s="154">
        <v>46704.25</v>
      </c>
      <c r="J50" s="144">
        <v>50000</v>
      </c>
    </row>
    <row r="51" spans="1:10" x14ac:dyDescent="0.35">
      <c r="A51" s="3">
        <v>4212</v>
      </c>
      <c r="B51" t="s">
        <v>102</v>
      </c>
      <c r="C51" s="16">
        <v>176805.32</v>
      </c>
      <c r="D51" s="151">
        <f t="shared" si="8"/>
        <v>160000</v>
      </c>
      <c r="E51" s="155"/>
      <c r="F51" s="144"/>
      <c r="G51" s="154">
        <v>38450.5</v>
      </c>
      <c r="H51" s="144">
        <v>40000</v>
      </c>
      <c r="I51" s="154">
        <v>138354.82</v>
      </c>
      <c r="J51" s="144">
        <v>120000</v>
      </c>
    </row>
    <row r="52" spans="1:10" x14ac:dyDescent="0.35">
      <c r="A52" s="3">
        <v>4213</v>
      </c>
      <c r="B52" t="s">
        <v>155</v>
      </c>
      <c r="C52" s="16">
        <v>110546.32</v>
      </c>
      <c r="D52" s="151">
        <f t="shared" si="8"/>
        <v>210000</v>
      </c>
      <c r="E52" s="155"/>
      <c r="F52" s="144"/>
      <c r="G52" s="154">
        <v>52303.32</v>
      </c>
      <c r="H52" s="144">
        <v>150000</v>
      </c>
      <c r="I52" s="154">
        <v>58243</v>
      </c>
      <c r="J52" s="144">
        <v>60000</v>
      </c>
    </row>
    <row r="53" spans="1:10" x14ac:dyDescent="0.35">
      <c r="A53" s="3">
        <v>4214</v>
      </c>
      <c r="B53" t="s">
        <v>113</v>
      </c>
      <c r="C53" s="16">
        <v>7175.81</v>
      </c>
      <c r="D53" s="151">
        <f t="shared" si="8"/>
        <v>7000</v>
      </c>
      <c r="E53" s="155"/>
      <c r="F53" s="144"/>
      <c r="G53" s="155"/>
      <c r="H53" s="144"/>
      <c r="I53" s="154">
        <v>7175.81</v>
      </c>
      <c r="J53" s="144">
        <v>7000</v>
      </c>
    </row>
    <row r="54" spans="1:10" x14ac:dyDescent="0.35">
      <c r="A54" s="3">
        <v>4215</v>
      </c>
      <c r="B54" t="s">
        <v>136</v>
      </c>
      <c r="C54" s="16">
        <v>103090</v>
      </c>
      <c r="D54" s="151">
        <f t="shared" si="8"/>
        <v>160000</v>
      </c>
      <c r="E54" s="155"/>
      <c r="F54" s="144"/>
      <c r="G54" s="154">
        <v>46605</v>
      </c>
      <c r="H54" s="144">
        <v>100000</v>
      </c>
      <c r="I54" s="154">
        <v>56485</v>
      </c>
      <c r="J54" s="144">
        <v>60000</v>
      </c>
    </row>
    <row r="55" spans="1:10" x14ac:dyDescent="0.35">
      <c r="A55" s="3">
        <v>4216</v>
      </c>
      <c r="B55" t="s">
        <v>147</v>
      </c>
      <c r="C55" s="16">
        <v>13455.08</v>
      </c>
      <c r="D55" s="151">
        <f t="shared" si="8"/>
        <v>5000</v>
      </c>
      <c r="E55" s="154">
        <v>9700</v>
      </c>
      <c r="F55" s="144"/>
      <c r="G55" s="154">
        <v>3755.08</v>
      </c>
      <c r="H55" s="144">
        <v>5000</v>
      </c>
      <c r="I55" s="155"/>
      <c r="J55" s="144"/>
    </row>
    <row r="56" spans="1:10" x14ac:dyDescent="0.35">
      <c r="A56" s="3">
        <v>4218</v>
      </c>
      <c r="B56" t="s">
        <v>120</v>
      </c>
      <c r="C56" s="16">
        <v>-3552.2</v>
      </c>
      <c r="D56" s="151">
        <f t="shared" si="8"/>
        <v>30000</v>
      </c>
      <c r="E56" s="155"/>
      <c r="F56" s="144"/>
      <c r="G56" s="154">
        <v>-3552.2</v>
      </c>
      <c r="H56" s="144">
        <v>30000</v>
      </c>
      <c r="I56" s="155"/>
      <c r="J56" s="144"/>
    </row>
    <row r="57" spans="1:10" x14ac:dyDescent="0.35">
      <c r="A57" s="3">
        <v>4220</v>
      </c>
      <c r="B57" t="s">
        <v>40</v>
      </c>
      <c r="C57" s="16">
        <v>25000</v>
      </c>
      <c r="D57" s="151">
        <f t="shared" si="8"/>
        <v>25000</v>
      </c>
      <c r="E57" s="155"/>
      <c r="F57" s="144"/>
      <c r="G57" s="155"/>
      <c r="H57" s="144"/>
      <c r="I57" s="154">
        <v>25000</v>
      </c>
      <c r="J57" s="144">
        <v>25000</v>
      </c>
    </row>
    <row r="58" spans="1:10" x14ac:dyDescent="0.35">
      <c r="A58" s="3">
        <v>4221</v>
      </c>
      <c r="B58" t="s">
        <v>158</v>
      </c>
      <c r="C58" s="16">
        <v>4948.3599999999997</v>
      </c>
      <c r="D58" s="151">
        <f t="shared" si="8"/>
        <v>0</v>
      </c>
      <c r="E58" s="155"/>
      <c r="F58" s="144"/>
      <c r="G58" s="155"/>
      <c r="H58" s="144"/>
      <c r="I58" s="154">
        <v>4948.3599999999997</v>
      </c>
      <c r="J58" s="144"/>
    </row>
    <row r="59" spans="1:10" x14ac:dyDescent="0.35">
      <c r="A59" s="3">
        <v>4300</v>
      </c>
      <c r="B59" t="s">
        <v>137</v>
      </c>
      <c r="C59" s="16">
        <v>442.9</v>
      </c>
      <c r="D59" s="151">
        <f t="shared" si="8"/>
        <v>5000</v>
      </c>
      <c r="E59" s="155"/>
      <c r="F59" s="144"/>
      <c r="G59" s="154">
        <v>442.9</v>
      </c>
      <c r="H59" s="144">
        <v>5000</v>
      </c>
      <c r="I59" s="155"/>
      <c r="J59" s="144"/>
    </row>
    <row r="60" spans="1:10" x14ac:dyDescent="0.35">
      <c r="A60" s="3">
        <v>4301</v>
      </c>
      <c r="B60" t="s">
        <v>68</v>
      </c>
      <c r="C60" s="16">
        <v>33.008000000000003</v>
      </c>
      <c r="D60" s="151">
        <f t="shared" si="8"/>
        <v>0</v>
      </c>
      <c r="E60" s="155"/>
      <c r="F60" s="144"/>
      <c r="G60" s="154">
        <v>33.008000000000003</v>
      </c>
      <c r="H60" s="144"/>
      <c r="I60" s="155"/>
      <c r="J60" s="144"/>
    </row>
    <row r="61" spans="1:10" x14ac:dyDescent="0.35">
      <c r="A61" s="3">
        <v>4310</v>
      </c>
      <c r="B61" t="s">
        <v>41</v>
      </c>
      <c r="C61" s="16">
        <v>52218.25</v>
      </c>
      <c r="D61" s="151">
        <f t="shared" si="8"/>
        <v>65000</v>
      </c>
      <c r="E61" s="155"/>
      <c r="F61" s="144"/>
      <c r="G61" s="154">
        <v>52218.25</v>
      </c>
      <c r="H61" s="144">
        <v>65000</v>
      </c>
      <c r="I61" s="155"/>
      <c r="J61" s="144"/>
    </row>
    <row r="62" spans="1:10" x14ac:dyDescent="0.35">
      <c r="A62" s="3">
        <v>4380</v>
      </c>
      <c r="B62" t="s">
        <v>88</v>
      </c>
      <c r="C62" s="16">
        <v>155552</v>
      </c>
      <c r="D62" s="151">
        <f t="shared" si="8"/>
        <v>0</v>
      </c>
      <c r="E62" s="155"/>
      <c r="F62" s="144"/>
      <c r="G62" s="154">
        <v>155552</v>
      </c>
      <c r="H62" s="144"/>
      <c r="I62" s="155"/>
      <c r="J62" s="144"/>
    </row>
    <row r="63" spans="1:10" x14ac:dyDescent="0.35">
      <c r="A63" s="3">
        <v>4381</v>
      </c>
      <c r="B63" t="s">
        <v>75</v>
      </c>
      <c r="C63" s="16">
        <v>-155552</v>
      </c>
      <c r="D63" s="151">
        <f t="shared" si="8"/>
        <v>0</v>
      </c>
      <c r="E63" s="155"/>
      <c r="F63" s="144"/>
      <c r="G63" s="154">
        <v>-155552</v>
      </c>
      <c r="H63" s="144"/>
      <c r="I63" s="155"/>
      <c r="J63" s="144"/>
    </row>
    <row r="64" spans="1:10" x14ac:dyDescent="0.35">
      <c r="A64" s="3">
        <v>4400</v>
      </c>
      <c r="B64" t="s">
        <v>55</v>
      </c>
      <c r="C64" s="16">
        <v>1500.56</v>
      </c>
      <c r="D64" s="151">
        <f t="shared" si="8"/>
        <v>5500</v>
      </c>
      <c r="E64" s="155"/>
      <c r="F64" s="144"/>
      <c r="G64" s="155"/>
      <c r="H64" s="144">
        <v>4000</v>
      </c>
      <c r="I64" s="154">
        <v>1500.56</v>
      </c>
      <c r="J64" s="144">
        <v>1500</v>
      </c>
    </row>
    <row r="65" spans="1:10" x14ac:dyDescent="0.35">
      <c r="A65" s="3">
        <v>4415</v>
      </c>
      <c r="B65" t="s">
        <v>76</v>
      </c>
      <c r="C65" s="16">
        <v>3921</v>
      </c>
      <c r="D65" s="151">
        <f t="shared" si="8"/>
        <v>4500</v>
      </c>
      <c r="E65" s="155"/>
      <c r="F65" s="144"/>
      <c r="G65" s="154">
        <v>3921</v>
      </c>
      <c r="H65" s="144">
        <v>4500</v>
      </c>
      <c r="I65" s="155"/>
      <c r="J65" s="144"/>
    </row>
    <row r="66" spans="1:10" x14ac:dyDescent="0.35">
      <c r="A66" s="3">
        <v>5000</v>
      </c>
      <c r="B66" t="s">
        <v>138</v>
      </c>
      <c r="C66" s="16">
        <v>208818.75</v>
      </c>
      <c r="D66" s="151">
        <f t="shared" si="8"/>
        <v>250000</v>
      </c>
      <c r="E66" s="155"/>
      <c r="F66" s="144"/>
      <c r="G66" s="154">
        <v>208818.75</v>
      </c>
      <c r="H66" s="144">
        <v>250000</v>
      </c>
      <c r="I66" s="155"/>
      <c r="J66" s="144"/>
    </row>
    <row r="67" spans="1:10" x14ac:dyDescent="0.35">
      <c r="A67" s="3">
        <v>5092</v>
      </c>
      <c r="B67" t="s">
        <v>139</v>
      </c>
      <c r="C67" s="16">
        <v>22484.59</v>
      </c>
      <c r="D67" s="151">
        <f t="shared" si="8"/>
        <v>24000</v>
      </c>
      <c r="E67" s="155"/>
      <c r="F67" s="144"/>
      <c r="G67" s="154">
        <v>22484.59</v>
      </c>
      <c r="H67" s="144">
        <v>24000</v>
      </c>
      <c r="I67" s="155"/>
      <c r="J67" s="144"/>
    </row>
    <row r="68" spans="1:10" x14ac:dyDescent="0.35">
      <c r="A68" s="3">
        <v>6010</v>
      </c>
      <c r="B68" t="s">
        <v>105</v>
      </c>
      <c r="C68" s="16">
        <v>43611.48</v>
      </c>
      <c r="D68" s="151">
        <f t="shared" si="8"/>
        <v>45000</v>
      </c>
      <c r="E68" s="155"/>
      <c r="F68" s="144"/>
      <c r="G68" s="155"/>
      <c r="H68" s="144"/>
      <c r="I68" s="154">
        <v>43611.48</v>
      </c>
      <c r="J68" s="144">
        <v>45000</v>
      </c>
    </row>
    <row r="69" spans="1:10" x14ac:dyDescent="0.35">
      <c r="A69" s="3">
        <v>6320</v>
      </c>
      <c r="B69" t="s">
        <v>56</v>
      </c>
      <c r="C69" s="16">
        <v>3652</v>
      </c>
      <c r="D69" s="151">
        <f t="shared" si="8"/>
        <v>4000</v>
      </c>
      <c r="E69" s="155"/>
      <c r="F69" s="144"/>
      <c r="G69" s="155"/>
      <c r="H69" s="144"/>
      <c r="I69" s="154">
        <v>3652</v>
      </c>
      <c r="J69" s="144">
        <v>4000</v>
      </c>
    </row>
    <row r="70" spans="1:10" x14ac:dyDescent="0.35">
      <c r="A70" s="3">
        <v>6340</v>
      </c>
      <c r="B70" t="s">
        <v>30</v>
      </c>
      <c r="C70" s="16">
        <v>36896.35</v>
      </c>
      <c r="D70" s="151">
        <f t="shared" si="8"/>
        <v>40000</v>
      </c>
      <c r="E70" s="155"/>
      <c r="F70" s="144"/>
      <c r="G70" s="155"/>
      <c r="H70" s="144"/>
      <c r="I70" s="154">
        <v>36896.35</v>
      </c>
      <c r="J70" s="144">
        <v>40000</v>
      </c>
    </row>
    <row r="71" spans="1:10" x14ac:dyDescent="0.35">
      <c r="A71" s="3">
        <v>6341</v>
      </c>
      <c r="B71" t="s">
        <v>8</v>
      </c>
      <c r="C71" s="16">
        <v>96384.808000000005</v>
      </c>
      <c r="D71" s="151">
        <f t="shared" si="8"/>
        <v>100000</v>
      </c>
      <c r="E71" s="155"/>
      <c r="F71" s="144"/>
      <c r="G71" s="154">
        <v>96078.448000000004</v>
      </c>
      <c r="H71" s="144">
        <v>100000</v>
      </c>
      <c r="I71" s="154">
        <v>306.36</v>
      </c>
      <c r="J71" s="144"/>
    </row>
    <row r="72" spans="1:10" x14ac:dyDescent="0.35">
      <c r="A72" s="3">
        <v>6490</v>
      </c>
      <c r="B72" t="s">
        <v>114</v>
      </c>
      <c r="C72" s="16"/>
      <c r="D72" s="151">
        <f t="shared" si="8"/>
        <v>0</v>
      </c>
      <c r="E72" s="155"/>
      <c r="F72" s="144"/>
      <c r="G72" s="155"/>
      <c r="H72" s="144"/>
      <c r="I72" s="155"/>
      <c r="J72" s="144"/>
    </row>
    <row r="73" spans="1:10" x14ac:dyDescent="0.35">
      <c r="A73" s="3">
        <v>6540</v>
      </c>
      <c r="B73" t="s">
        <v>57</v>
      </c>
      <c r="C73" s="16">
        <v>0</v>
      </c>
      <c r="D73" s="151">
        <f t="shared" si="8"/>
        <v>0</v>
      </c>
      <c r="E73" s="155"/>
      <c r="F73" s="144"/>
      <c r="G73" s="155"/>
      <c r="H73" s="144"/>
      <c r="I73" s="155"/>
      <c r="J73" s="144"/>
    </row>
    <row r="74" spans="1:10" x14ac:dyDescent="0.35">
      <c r="A74" s="3">
        <v>6545</v>
      </c>
      <c r="B74" t="s">
        <v>58</v>
      </c>
      <c r="C74" s="16"/>
      <c r="D74" s="151">
        <f t="shared" si="8"/>
        <v>5000</v>
      </c>
      <c r="E74" s="155"/>
      <c r="F74" s="144"/>
      <c r="G74" s="155"/>
      <c r="H74" s="144">
        <v>5000</v>
      </c>
      <c r="I74" s="155"/>
      <c r="J74" s="144"/>
    </row>
    <row r="75" spans="1:10" x14ac:dyDescent="0.35">
      <c r="A75" s="3">
        <v>6550</v>
      </c>
      <c r="B75" t="s">
        <v>77</v>
      </c>
      <c r="C75" s="16"/>
      <c r="D75" s="151">
        <f t="shared" si="8"/>
        <v>1000</v>
      </c>
      <c r="E75" s="155"/>
      <c r="F75" s="144"/>
      <c r="G75" s="155"/>
      <c r="H75" s="144">
        <v>1000</v>
      </c>
      <c r="I75" s="155"/>
      <c r="J75" s="144"/>
    </row>
    <row r="76" spans="1:10" x14ac:dyDescent="0.35">
      <c r="A76" s="3">
        <v>6553</v>
      </c>
      <c r="B76" t="s">
        <v>69</v>
      </c>
      <c r="C76" s="16">
        <v>21106.3</v>
      </c>
      <c r="D76" s="151">
        <f t="shared" si="8"/>
        <v>25000</v>
      </c>
      <c r="E76" s="154">
        <v>8506.2999999999993</v>
      </c>
      <c r="F76" s="144">
        <v>15000</v>
      </c>
      <c r="G76" s="154">
        <v>12600</v>
      </c>
      <c r="H76" s="144">
        <v>10000</v>
      </c>
      <c r="I76" s="155"/>
      <c r="J76" s="144"/>
    </row>
    <row r="77" spans="1:10" x14ac:dyDescent="0.35">
      <c r="A77" s="3">
        <v>6600</v>
      </c>
      <c r="B77" t="s">
        <v>89</v>
      </c>
      <c r="C77" s="16">
        <v>207919.64799999999</v>
      </c>
      <c r="D77" s="151">
        <f t="shared" si="8"/>
        <v>150000</v>
      </c>
      <c r="E77" s="155"/>
      <c r="F77" s="144"/>
      <c r="G77" s="154">
        <v>207919.64799999999</v>
      </c>
      <c r="H77" s="144">
        <v>150000</v>
      </c>
      <c r="I77" s="155"/>
      <c r="J77" s="144"/>
    </row>
    <row r="78" spans="1:10" x14ac:dyDescent="0.35">
      <c r="A78" s="3">
        <v>6610</v>
      </c>
      <c r="B78" t="s">
        <v>159</v>
      </c>
      <c r="C78" s="16">
        <v>18361.407999999999</v>
      </c>
      <c r="D78" s="151">
        <f t="shared" si="8"/>
        <v>40000</v>
      </c>
      <c r="E78" s="155"/>
      <c r="F78" s="144"/>
      <c r="G78" s="154">
        <v>18361.407999999999</v>
      </c>
      <c r="H78" s="144">
        <v>40000</v>
      </c>
      <c r="I78" s="155"/>
      <c r="J78" s="144"/>
    </row>
    <row r="79" spans="1:10" x14ac:dyDescent="0.35">
      <c r="A79" s="3">
        <v>6640</v>
      </c>
      <c r="B79" t="s">
        <v>160</v>
      </c>
      <c r="C79" s="16">
        <v>436113.93199999997</v>
      </c>
      <c r="D79" s="151">
        <f t="shared" si="8"/>
        <v>450000</v>
      </c>
      <c r="E79" s="155"/>
      <c r="F79" s="144"/>
      <c r="G79" s="154">
        <v>436113.93199999997</v>
      </c>
      <c r="H79" s="144">
        <v>450000</v>
      </c>
      <c r="I79" s="155"/>
      <c r="J79" s="144"/>
    </row>
    <row r="80" spans="1:10" x14ac:dyDescent="0.35">
      <c r="A80" s="3">
        <v>6641</v>
      </c>
      <c r="B80" t="s">
        <v>59</v>
      </c>
      <c r="C80" s="16">
        <v>4123.2</v>
      </c>
      <c r="D80" s="151">
        <f t="shared" si="8"/>
        <v>4200</v>
      </c>
      <c r="E80" s="155"/>
      <c r="F80" s="144"/>
      <c r="G80" s="154">
        <v>4123.2</v>
      </c>
      <c r="H80" s="144">
        <v>4200</v>
      </c>
      <c r="I80" s="155"/>
      <c r="J80" s="144"/>
    </row>
    <row r="81" spans="1:10" x14ac:dyDescent="0.35">
      <c r="A81" s="3">
        <v>6642</v>
      </c>
      <c r="B81" t="s">
        <v>161</v>
      </c>
      <c r="C81" s="16">
        <v>1228</v>
      </c>
      <c r="D81" s="151">
        <f t="shared" si="8"/>
        <v>20000</v>
      </c>
      <c r="E81" s="155"/>
      <c r="F81" s="144"/>
      <c r="G81" s="154">
        <v>1228</v>
      </c>
      <c r="H81" s="144">
        <v>20000</v>
      </c>
      <c r="I81" s="155"/>
      <c r="J81" s="144"/>
    </row>
    <row r="82" spans="1:10" x14ac:dyDescent="0.35">
      <c r="A82" s="3">
        <v>6645</v>
      </c>
      <c r="B82" t="s">
        <v>140</v>
      </c>
      <c r="C82" s="16">
        <v>72110.656000000003</v>
      </c>
      <c r="D82" s="151">
        <f t="shared" si="8"/>
        <v>80000</v>
      </c>
      <c r="E82" s="155"/>
      <c r="F82" s="144"/>
      <c r="G82" s="154">
        <v>72110.656000000003</v>
      </c>
      <c r="H82" s="144">
        <v>80000</v>
      </c>
      <c r="I82" s="155"/>
      <c r="J82" s="144"/>
    </row>
    <row r="83" spans="1:10" x14ac:dyDescent="0.35">
      <c r="A83" s="3">
        <v>6660</v>
      </c>
      <c r="B83" t="s">
        <v>21</v>
      </c>
      <c r="C83" s="16">
        <v>204149.16800000001</v>
      </c>
      <c r="D83" s="151">
        <f t="shared" si="8"/>
        <v>230000</v>
      </c>
      <c r="E83" s="155"/>
      <c r="F83" s="144"/>
      <c r="G83" s="154">
        <v>176084.568</v>
      </c>
      <c r="H83" s="144">
        <v>200000</v>
      </c>
      <c r="I83" s="154">
        <v>28064.6</v>
      </c>
      <c r="J83" s="144">
        <v>30000</v>
      </c>
    </row>
    <row r="84" spans="1:10" x14ac:dyDescent="0.35">
      <c r="A84" s="3">
        <v>6680</v>
      </c>
      <c r="B84" t="s">
        <v>141</v>
      </c>
      <c r="C84" s="16">
        <v>33367.858</v>
      </c>
      <c r="D84" s="151">
        <f t="shared" si="8"/>
        <v>55000</v>
      </c>
      <c r="E84" s="155"/>
      <c r="F84" s="144"/>
      <c r="G84" s="154">
        <v>5531.6080000000002</v>
      </c>
      <c r="H84" s="144">
        <v>5000</v>
      </c>
      <c r="I84" s="154">
        <v>27836.25</v>
      </c>
      <c r="J84" s="144">
        <v>50000</v>
      </c>
    </row>
    <row r="85" spans="1:10" x14ac:dyDescent="0.35">
      <c r="A85" s="3">
        <v>6690</v>
      </c>
      <c r="B85" t="s">
        <v>42</v>
      </c>
      <c r="C85" s="16">
        <v>13486.2</v>
      </c>
      <c r="D85" s="151">
        <f t="shared" si="8"/>
        <v>0</v>
      </c>
      <c r="E85" s="155"/>
      <c r="F85" s="144"/>
      <c r="G85" s="155"/>
      <c r="H85" s="144"/>
      <c r="I85" s="154">
        <v>13486.2</v>
      </c>
      <c r="J85" s="144"/>
    </row>
    <row r="86" spans="1:10" x14ac:dyDescent="0.35">
      <c r="A86" s="3">
        <v>6695</v>
      </c>
      <c r="B86" t="s">
        <v>156</v>
      </c>
      <c r="C86" s="16">
        <v>0</v>
      </c>
      <c r="D86" s="151">
        <f t="shared" si="8"/>
        <v>0</v>
      </c>
      <c r="E86" s="155"/>
      <c r="F86" s="144"/>
      <c r="G86" s="155"/>
      <c r="H86" s="144"/>
      <c r="I86" s="154">
        <v>13213.44</v>
      </c>
      <c r="J86" s="144"/>
    </row>
    <row r="87" spans="1:10" x14ac:dyDescent="0.35">
      <c r="A87" s="3">
        <v>6696</v>
      </c>
      <c r="B87" t="s">
        <v>9</v>
      </c>
      <c r="C87" s="16">
        <v>13213.44</v>
      </c>
      <c r="D87" s="151">
        <f t="shared" si="8"/>
        <v>0</v>
      </c>
      <c r="E87" s="155"/>
      <c r="F87" s="144"/>
      <c r="G87" s="155"/>
      <c r="H87" s="144"/>
      <c r="I87" s="155"/>
      <c r="J87" s="144"/>
    </row>
    <row r="88" spans="1:10" x14ac:dyDescent="0.35">
      <c r="A88" s="3">
        <v>6705</v>
      </c>
      <c r="B88" t="s">
        <v>106</v>
      </c>
      <c r="C88" s="16">
        <v>153033.712</v>
      </c>
      <c r="D88" s="151">
        <f t="shared" si="8"/>
        <v>145000</v>
      </c>
      <c r="E88" s="154">
        <v>153033.712</v>
      </c>
      <c r="F88" s="144">
        <v>145000</v>
      </c>
      <c r="G88" s="155"/>
      <c r="H88" s="144"/>
      <c r="I88" s="155"/>
      <c r="J88" s="144"/>
    </row>
    <row r="89" spans="1:10" x14ac:dyDescent="0.35">
      <c r="A89" s="3">
        <v>6800</v>
      </c>
      <c r="B89" t="s">
        <v>90</v>
      </c>
      <c r="C89" s="16">
        <v>249.66</v>
      </c>
      <c r="D89" s="151">
        <f t="shared" si="8"/>
        <v>2500</v>
      </c>
      <c r="E89" s="155"/>
      <c r="F89" s="144"/>
      <c r="G89" s="155"/>
      <c r="H89" s="144"/>
      <c r="I89" s="154">
        <v>249.66</v>
      </c>
      <c r="J89" s="144">
        <v>2500</v>
      </c>
    </row>
    <row r="90" spans="1:10" x14ac:dyDescent="0.35">
      <c r="A90" s="3">
        <v>6845</v>
      </c>
      <c r="B90" t="s">
        <v>78</v>
      </c>
      <c r="C90" s="16">
        <v>11502.578</v>
      </c>
      <c r="D90" s="151">
        <f t="shared" si="8"/>
        <v>10000</v>
      </c>
      <c r="E90" s="155"/>
      <c r="F90" s="144"/>
      <c r="G90" s="155"/>
      <c r="H90" s="144"/>
      <c r="I90" s="154">
        <v>11502.578</v>
      </c>
      <c r="J90" s="144">
        <v>10000</v>
      </c>
    </row>
    <row r="91" spans="1:10" x14ac:dyDescent="0.35">
      <c r="A91" s="3">
        <v>6860</v>
      </c>
      <c r="B91" t="s">
        <v>91</v>
      </c>
      <c r="C91" s="16">
        <v>2023.7</v>
      </c>
      <c r="D91" s="151">
        <f t="shared" si="8"/>
        <v>5500</v>
      </c>
      <c r="E91" s="154">
        <v>1455</v>
      </c>
      <c r="F91" s="144">
        <v>5000</v>
      </c>
      <c r="G91" s="155"/>
      <c r="H91" s="144"/>
      <c r="I91" s="154">
        <v>568.70000000000005</v>
      </c>
      <c r="J91" s="144">
        <v>500</v>
      </c>
    </row>
    <row r="92" spans="1:10" x14ac:dyDescent="0.35">
      <c r="A92" s="3">
        <v>6862</v>
      </c>
      <c r="B92" t="s">
        <v>92</v>
      </c>
      <c r="C92" s="16">
        <v>21916</v>
      </c>
      <c r="D92" s="151">
        <f t="shared" si="8"/>
        <v>20000</v>
      </c>
      <c r="E92" s="155"/>
      <c r="F92" s="144"/>
      <c r="G92" s="155"/>
      <c r="H92" s="144"/>
      <c r="I92" s="154">
        <v>21916</v>
      </c>
      <c r="J92" s="144">
        <v>20000</v>
      </c>
    </row>
    <row r="93" spans="1:10" x14ac:dyDescent="0.35">
      <c r="A93" s="3">
        <v>6890</v>
      </c>
      <c r="B93" t="s">
        <v>121</v>
      </c>
      <c r="C93" s="16">
        <v>8025.6</v>
      </c>
      <c r="D93" s="151">
        <f t="shared" si="8"/>
        <v>10000</v>
      </c>
      <c r="E93" s="154">
        <v>8025.6</v>
      </c>
      <c r="F93" s="144">
        <v>10000</v>
      </c>
      <c r="G93" s="155"/>
      <c r="H93" s="144"/>
      <c r="I93" s="155"/>
      <c r="J93" s="144"/>
    </row>
    <row r="94" spans="1:10" x14ac:dyDescent="0.35">
      <c r="A94" s="3">
        <v>6900</v>
      </c>
      <c r="B94" t="s">
        <v>122</v>
      </c>
      <c r="C94" s="16">
        <v>99.01</v>
      </c>
      <c r="D94" s="151">
        <f t="shared" si="8"/>
        <v>0</v>
      </c>
      <c r="E94" s="155"/>
      <c r="F94" s="144"/>
      <c r="G94" s="155"/>
      <c r="H94" s="144"/>
      <c r="I94" s="154">
        <v>99.01</v>
      </c>
      <c r="J94" s="144"/>
    </row>
    <row r="95" spans="1:10" x14ac:dyDescent="0.35">
      <c r="A95" s="3">
        <v>6903</v>
      </c>
      <c r="B95" t="s">
        <v>93</v>
      </c>
      <c r="C95" s="16"/>
      <c r="D95" s="151">
        <f t="shared" si="8"/>
        <v>0</v>
      </c>
      <c r="E95" s="155"/>
      <c r="F95" s="144"/>
      <c r="G95" s="155"/>
      <c r="H95" s="144"/>
      <c r="I95" s="155"/>
      <c r="J95" s="144"/>
    </row>
    <row r="96" spans="1:10" x14ac:dyDescent="0.35">
      <c r="A96" s="3">
        <v>6940</v>
      </c>
      <c r="B96" t="s">
        <v>31</v>
      </c>
      <c r="C96" s="16">
        <v>1474.01</v>
      </c>
      <c r="D96" s="151">
        <f t="shared" si="8"/>
        <v>3000</v>
      </c>
      <c r="E96" s="154">
        <v>1474.01</v>
      </c>
      <c r="F96" s="144">
        <v>3000</v>
      </c>
      <c r="G96" s="155"/>
      <c r="H96" s="144"/>
      <c r="I96" s="155"/>
      <c r="J96" s="144"/>
    </row>
    <row r="97" spans="1:10" x14ac:dyDescent="0.35">
      <c r="A97" s="3">
        <v>7324</v>
      </c>
      <c r="B97" t="s">
        <v>43</v>
      </c>
      <c r="C97" s="16"/>
      <c r="D97" s="151">
        <f t="shared" si="8"/>
        <v>2000</v>
      </c>
      <c r="E97" s="155"/>
      <c r="F97" s="144"/>
      <c r="G97" s="155"/>
      <c r="H97" s="144">
        <v>2000</v>
      </c>
      <c r="I97" s="155"/>
      <c r="J97" s="144"/>
    </row>
    <row r="98" spans="1:10" x14ac:dyDescent="0.35">
      <c r="A98" s="3">
        <v>7400</v>
      </c>
      <c r="B98" t="s">
        <v>44</v>
      </c>
      <c r="C98" s="16"/>
      <c r="D98" s="151">
        <f t="shared" si="8"/>
        <v>2000</v>
      </c>
      <c r="E98" s="155"/>
      <c r="F98" s="144"/>
      <c r="G98" s="155"/>
      <c r="H98" s="144">
        <v>2000</v>
      </c>
      <c r="I98" s="155"/>
      <c r="J98" s="144"/>
    </row>
    <row r="99" spans="1:10" x14ac:dyDescent="0.35">
      <c r="A99" s="3">
        <v>7410</v>
      </c>
      <c r="B99" t="s">
        <v>123</v>
      </c>
      <c r="C99" s="16">
        <v>9570</v>
      </c>
      <c r="D99" s="151">
        <f t="shared" si="8"/>
        <v>10000</v>
      </c>
      <c r="E99" s="154">
        <v>9570</v>
      </c>
      <c r="F99" s="144">
        <v>10000</v>
      </c>
      <c r="G99" s="155"/>
      <c r="H99" s="144"/>
      <c r="I99" s="155"/>
      <c r="J99" s="144"/>
    </row>
    <row r="100" spans="1:10" x14ac:dyDescent="0.35">
      <c r="A100" s="3">
        <v>7420</v>
      </c>
      <c r="B100" t="s">
        <v>36</v>
      </c>
      <c r="C100" s="16">
        <v>6668</v>
      </c>
      <c r="D100" s="151">
        <f t="shared" si="8"/>
        <v>12500</v>
      </c>
      <c r="E100" s="154">
        <v>4168</v>
      </c>
      <c r="F100" s="144">
        <v>5000</v>
      </c>
      <c r="G100" s="155"/>
      <c r="H100" s="144">
        <v>5000</v>
      </c>
      <c r="I100" s="154">
        <v>2500</v>
      </c>
      <c r="J100" s="144">
        <v>2500</v>
      </c>
    </row>
    <row r="101" spans="1:10" x14ac:dyDescent="0.35">
      <c r="A101" s="3">
        <v>7450</v>
      </c>
      <c r="B101" t="s">
        <v>148</v>
      </c>
      <c r="C101" s="16">
        <v>95000</v>
      </c>
      <c r="D101" s="151">
        <f t="shared" si="8"/>
        <v>125000</v>
      </c>
      <c r="E101" s="154">
        <v>95000</v>
      </c>
      <c r="F101" s="144">
        <v>125000</v>
      </c>
      <c r="G101" s="155"/>
      <c r="H101" s="144"/>
      <c r="I101" s="155"/>
      <c r="J101" s="144"/>
    </row>
    <row r="102" spans="1:10" x14ac:dyDescent="0.35">
      <c r="A102" s="3">
        <v>7451</v>
      </c>
      <c r="B102" t="s">
        <v>10</v>
      </c>
      <c r="C102" s="16">
        <v>30000</v>
      </c>
      <c r="D102" s="151">
        <f t="shared" si="8"/>
        <v>60000</v>
      </c>
      <c r="E102" s="154">
        <v>30000</v>
      </c>
      <c r="F102" s="144">
        <v>60000</v>
      </c>
      <c r="G102" s="155"/>
      <c r="H102" s="144"/>
      <c r="I102" s="155"/>
      <c r="J102" s="144"/>
    </row>
    <row r="103" spans="1:10" x14ac:dyDescent="0.35">
      <c r="A103" s="3">
        <v>7510</v>
      </c>
      <c r="B103" t="s">
        <v>142</v>
      </c>
      <c r="C103" s="16">
        <v>45663.457000000002</v>
      </c>
      <c r="D103" s="151">
        <f t="shared" si="8"/>
        <v>53000</v>
      </c>
      <c r="E103" s="154">
        <v>45663.457000000002</v>
      </c>
      <c r="F103" s="144">
        <v>53000</v>
      </c>
      <c r="G103" s="155"/>
      <c r="H103" s="144"/>
      <c r="I103" s="155"/>
      <c r="J103" s="144"/>
    </row>
    <row r="104" spans="1:10" x14ac:dyDescent="0.35">
      <c r="A104" s="3">
        <v>7740</v>
      </c>
      <c r="B104" t="s">
        <v>99</v>
      </c>
      <c r="C104" s="16">
        <v>-0.94</v>
      </c>
      <c r="D104" s="151">
        <f t="shared" si="8"/>
        <v>0</v>
      </c>
      <c r="E104" s="155"/>
      <c r="F104" s="144"/>
      <c r="G104" s="154">
        <v>-0.57999999999999996</v>
      </c>
      <c r="H104" s="144"/>
      <c r="I104" s="155"/>
      <c r="J104" s="144"/>
    </row>
    <row r="105" spans="1:10" x14ac:dyDescent="0.35">
      <c r="A105" s="3">
        <v>7770</v>
      </c>
      <c r="B105" t="s">
        <v>60</v>
      </c>
      <c r="C105" s="16">
        <v>1588.75</v>
      </c>
      <c r="D105" s="151">
        <f t="shared" si="8"/>
        <v>2500</v>
      </c>
      <c r="E105" s="154">
        <v>-278</v>
      </c>
      <c r="F105" s="144"/>
      <c r="G105" s="154">
        <v>1842.75</v>
      </c>
      <c r="H105" s="144">
        <v>2000</v>
      </c>
      <c r="I105" s="154">
        <v>24</v>
      </c>
      <c r="J105" s="144">
        <v>500</v>
      </c>
    </row>
    <row r="106" spans="1:10" x14ac:dyDescent="0.35">
      <c r="A106" s="3">
        <v>7780</v>
      </c>
      <c r="B106" t="s">
        <v>22</v>
      </c>
      <c r="C106" s="16">
        <v>310.77999999999997</v>
      </c>
      <c r="D106" s="151">
        <f t="shared" si="8"/>
        <v>2000</v>
      </c>
      <c r="E106" s="155"/>
      <c r="F106" s="144"/>
      <c r="G106" s="155"/>
      <c r="H106" s="144">
        <v>2000</v>
      </c>
      <c r="I106" s="154">
        <v>310.77999999999997</v>
      </c>
      <c r="J106" s="144"/>
    </row>
    <row r="107" spans="1:10" x14ac:dyDescent="0.35">
      <c r="A107" s="3">
        <v>7781</v>
      </c>
      <c r="B107" t="s">
        <v>79</v>
      </c>
      <c r="C107" s="16">
        <v>1178.4000000000001</v>
      </c>
      <c r="D107" s="151">
        <f t="shared" si="8"/>
        <v>1500</v>
      </c>
      <c r="E107" s="155"/>
      <c r="F107" s="144"/>
      <c r="G107" s="154">
        <v>1425.27</v>
      </c>
      <c r="H107" s="144">
        <v>1500</v>
      </c>
      <c r="I107" s="154">
        <v>-246.87</v>
      </c>
      <c r="J107" s="144"/>
    </row>
    <row r="108" spans="1:10" x14ac:dyDescent="0.35">
      <c r="A108" s="3">
        <v>7782</v>
      </c>
      <c r="B108" t="s">
        <v>143</v>
      </c>
      <c r="C108" s="16">
        <v>18672.8</v>
      </c>
      <c r="D108" s="151">
        <f t="shared" ref="D108:D111" si="9">F108+H108+J108</f>
        <v>0</v>
      </c>
      <c r="E108" s="155"/>
      <c r="F108" s="144"/>
      <c r="G108" s="154">
        <v>18672.8</v>
      </c>
      <c r="H108" s="144"/>
      <c r="I108" s="155"/>
      <c r="J108" s="144"/>
    </row>
    <row r="109" spans="1:10" x14ac:dyDescent="0.35">
      <c r="A109" s="3">
        <v>7783</v>
      </c>
      <c r="B109" t="s">
        <v>45</v>
      </c>
      <c r="C109" s="16">
        <v>5575.77</v>
      </c>
      <c r="D109" s="151">
        <f t="shared" si="9"/>
        <v>6000</v>
      </c>
      <c r="E109" s="155"/>
      <c r="F109" s="144"/>
      <c r="G109" s="154">
        <v>4509.7700000000004</v>
      </c>
      <c r="H109" s="144">
        <v>4500</v>
      </c>
      <c r="I109" s="154">
        <v>1066</v>
      </c>
      <c r="J109" s="144">
        <v>1500</v>
      </c>
    </row>
    <row r="110" spans="1:10" x14ac:dyDescent="0.35">
      <c r="A110" s="3">
        <v>7790</v>
      </c>
      <c r="B110" t="s">
        <v>61</v>
      </c>
      <c r="C110" s="16">
        <v>4310</v>
      </c>
      <c r="D110" s="151">
        <f t="shared" si="9"/>
        <v>27500</v>
      </c>
      <c r="E110" s="154">
        <v>2000</v>
      </c>
      <c r="F110" s="144">
        <v>25000</v>
      </c>
      <c r="G110" s="155"/>
      <c r="H110" s="144"/>
      <c r="I110" s="154">
        <v>2310</v>
      </c>
      <c r="J110" s="144">
        <v>2500</v>
      </c>
    </row>
    <row r="111" spans="1:10" ht="15" thickBot="1" x14ac:dyDescent="0.4">
      <c r="A111" s="3">
        <v>7791</v>
      </c>
      <c r="B111" t="s">
        <v>80</v>
      </c>
      <c r="C111" s="16">
        <v>130</v>
      </c>
      <c r="D111" s="151">
        <f t="shared" si="9"/>
        <v>0</v>
      </c>
      <c r="E111" s="155"/>
      <c r="F111" s="144"/>
      <c r="G111" s="155"/>
      <c r="H111" s="144"/>
      <c r="I111" s="154">
        <v>130</v>
      </c>
      <c r="J111" s="144"/>
    </row>
    <row r="112" spans="1:10" s="1" customFormat="1" ht="15" thickBot="1" x14ac:dyDescent="0.4">
      <c r="A112" s="20" t="s">
        <v>84</v>
      </c>
      <c r="B112" s="17"/>
      <c r="C112" s="28">
        <f t="shared" ref="C112:J112" si="10">SUM(C43:C111)</f>
        <v>2765186.4130000002</v>
      </c>
      <c r="D112" s="78">
        <f t="shared" si="10"/>
        <v>3046700</v>
      </c>
      <c r="E112" s="163">
        <f t="shared" si="10"/>
        <v>383318.07899999997</v>
      </c>
      <c r="F112" s="78">
        <f t="shared" si="10"/>
        <v>476000</v>
      </c>
      <c r="G112" s="163">
        <f t="shared" si="10"/>
        <v>1728986.3759999999</v>
      </c>
      <c r="H112" s="78">
        <f t="shared" si="10"/>
        <v>1925700</v>
      </c>
      <c r="I112" s="163">
        <f t="shared" si="10"/>
        <v>652882.31799999985</v>
      </c>
      <c r="J112" s="145">
        <f t="shared" si="10"/>
        <v>645000</v>
      </c>
    </row>
    <row r="113" spans="1:10" x14ac:dyDescent="0.35">
      <c r="A113" s="3"/>
      <c r="C113" s="5"/>
      <c r="D113" s="11"/>
      <c r="E113" s="155"/>
      <c r="F113" s="144"/>
      <c r="G113" s="155"/>
      <c r="H113" s="144"/>
      <c r="I113" s="155"/>
      <c r="J113" s="144"/>
    </row>
    <row r="114" spans="1:10" s="1" customFormat="1" x14ac:dyDescent="0.35">
      <c r="A114" s="6" t="s">
        <v>14</v>
      </c>
      <c r="C114" s="13"/>
      <c r="D114" s="29"/>
      <c r="E114" s="153"/>
      <c r="F114" s="164"/>
      <c r="G114" s="153"/>
      <c r="H114" s="164"/>
      <c r="I114" s="153"/>
      <c r="J114" s="164"/>
    </row>
    <row r="115" spans="1:10" s="1" customFormat="1" x14ac:dyDescent="0.35">
      <c r="A115" s="3">
        <v>8051</v>
      </c>
      <c r="B115" t="s">
        <v>94</v>
      </c>
      <c r="C115" s="16">
        <v>-46703.98</v>
      </c>
      <c r="D115" s="151">
        <f>F115+H115+J115</f>
        <v>-27000</v>
      </c>
      <c r="E115" s="154">
        <v>-1589</v>
      </c>
      <c r="F115" s="144">
        <v>-2000</v>
      </c>
      <c r="G115" s="154">
        <v>-24197.98</v>
      </c>
      <c r="H115" s="169">
        <v>-25000</v>
      </c>
      <c r="I115" s="154">
        <v>-20879</v>
      </c>
      <c r="J115" s="164"/>
    </row>
    <row r="116" spans="1:10" s="1" customFormat="1" x14ac:dyDescent="0.35">
      <c r="A116" s="3">
        <v>8079</v>
      </c>
      <c r="B116" t="s">
        <v>124</v>
      </c>
      <c r="C116" s="16"/>
      <c r="D116" s="151">
        <f t="shared" ref="D116:D121" si="11">F116+H116+J116</f>
        <v>0</v>
      </c>
      <c r="E116" s="153"/>
      <c r="F116" s="164"/>
      <c r="G116" s="154"/>
      <c r="H116" s="164"/>
      <c r="I116" s="153"/>
      <c r="J116" s="164"/>
    </row>
    <row r="117" spans="1:10" x14ac:dyDescent="0.35">
      <c r="A117" s="3">
        <v>8141</v>
      </c>
      <c r="B117" t="s">
        <v>149</v>
      </c>
      <c r="C117" s="16"/>
      <c r="D117" s="151">
        <f t="shared" si="11"/>
        <v>0</v>
      </c>
      <c r="E117" s="155"/>
      <c r="F117" s="144"/>
      <c r="G117" s="154"/>
      <c r="H117" s="144"/>
      <c r="I117" s="155"/>
      <c r="J117" s="144"/>
    </row>
    <row r="118" spans="1:10" x14ac:dyDescent="0.35">
      <c r="A118" s="3">
        <v>8151</v>
      </c>
      <c r="B118" t="s">
        <v>23</v>
      </c>
      <c r="C118" s="16">
        <v>0</v>
      </c>
      <c r="D118" s="151">
        <f t="shared" si="11"/>
        <v>0</v>
      </c>
      <c r="E118" s="155"/>
      <c r="F118" s="144"/>
      <c r="G118" s="154"/>
      <c r="H118" s="144"/>
      <c r="I118" s="155"/>
      <c r="J118" s="144"/>
    </row>
    <row r="119" spans="1:10" x14ac:dyDescent="0.35">
      <c r="A119" s="3">
        <v>8154</v>
      </c>
      <c r="B119" t="s">
        <v>150</v>
      </c>
      <c r="C119" s="16">
        <v>-54393.52</v>
      </c>
      <c r="D119" s="151">
        <f t="shared" si="11"/>
        <v>-65000</v>
      </c>
      <c r="E119" s="155"/>
      <c r="F119" s="144"/>
      <c r="G119" s="154">
        <v>-54393.52</v>
      </c>
      <c r="H119" s="144">
        <v>-65000</v>
      </c>
      <c r="I119" s="155"/>
      <c r="J119" s="144"/>
    </row>
    <row r="120" spans="1:10" x14ac:dyDescent="0.35">
      <c r="A120" s="3">
        <v>8155</v>
      </c>
      <c r="B120" t="s">
        <v>11</v>
      </c>
      <c r="C120" s="16">
        <v>516.36</v>
      </c>
      <c r="D120" s="151">
        <f t="shared" si="11"/>
        <v>0</v>
      </c>
      <c r="E120" s="155"/>
      <c r="F120" s="144"/>
      <c r="G120" s="154">
        <v>306.86</v>
      </c>
      <c r="H120" s="144"/>
      <c r="I120" s="154">
        <v>209.5</v>
      </c>
      <c r="J120" s="144"/>
    </row>
    <row r="121" spans="1:10" ht="15" thickBot="1" x14ac:dyDescent="0.4">
      <c r="A121" s="3">
        <v>8160</v>
      </c>
      <c r="B121" t="s">
        <v>125</v>
      </c>
      <c r="C121" s="16">
        <v>67.86</v>
      </c>
      <c r="D121" s="151">
        <f t="shared" si="11"/>
        <v>0</v>
      </c>
      <c r="E121" s="155"/>
      <c r="F121" s="144"/>
      <c r="G121" s="154">
        <v>67.86</v>
      </c>
      <c r="H121" s="144"/>
      <c r="I121" s="155"/>
      <c r="J121" s="144"/>
    </row>
    <row r="122" spans="1:10" s="1" customFormat="1" x14ac:dyDescent="0.35">
      <c r="A122" s="48" t="s">
        <v>25</v>
      </c>
      <c r="B122" s="45"/>
      <c r="C122" s="31">
        <f t="shared" ref="C122:J122" si="12">SUM(C115:C116)+SUM(C117:C121)</f>
        <v>-100513.28</v>
      </c>
      <c r="D122" s="71">
        <f t="shared" si="12"/>
        <v>-92000</v>
      </c>
      <c r="E122" s="160">
        <f t="shared" si="12"/>
        <v>-1589</v>
      </c>
      <c r="F122" s="71">
        <f t="shared" si="12"/>
        <v>-2000</v>
      </c>
      <c r="G122" s="160">
        <f t="shared" si="12"/>
        <v>-78216.78</v>
      </c>
      <c r="H122" s="71">
        <f t="shared" si="12"/>
        <v>-90000</v>
      </c>
      <c r="I122" s="160">
        <f t="shared" si="12"/>
        <v>-20669.5</v>
      </c>
      <c r="J122" s="146">
        <f t="shared" si="12"/>
        <v>0</v>
      </c>
    </row>
    <row r="123" spans="1:10" x14ac:dyDescent="0.35">
      <c r="A123" s="3"/>
      <c r="C123" s="5"/>
      <c r="D123" s="11"/>
      <c r="E123" s="155"/>
      <c r="F123" s="151"/>
      <c r="G123" s="155"/>
      <c r="H123" s="151"/>
      <c r="I123" s="155"/>
      <c r="J123" s="144"/>
    </row>
    <row r="124" spans="1:10" s="1" customFormat="1" ht="15" thickBot="1" x14ac:dyDescent="0.4">
      <c r="A124" s="21" t="s">
        <v>62</v>
      </c>
      <c r="B124" s="15"/>
      <c r="C124" s="56">
        <f t="shared" ref="C124:H124" si="13">C40-C112-C122</f>
        <v>527418.985099999</v>
      </c>
      <c r="D124" s="103">
        <f t="shared" si="13"/>
        <v>148300</v>
      </c>
      <c r="E124" s="161">
        <f t="shared" si="13"/>
        <v>296247.09099999996</v>
      </c>
      <c r="F124" s="103">
        <f t="shared" si="13"/>
        <v>81000</v>
      </c>
      <c r="G124" s="161">
        <f t="shared" si="13"/>
        <v>181420.58209999997</v>
      </c>
      <c r="H124" s="103">
        <f t="shared" si="13"/>
        <v>86300</v>
      </c>
      <c r="I124" s="161">
        <f>I40-I112-I122</f>
        <v>49712.952000000165</v>
      </c>
      <c r="J124" s="147">
        <f>J40-J112-J122</f>
        <v>-19000</v>
      </c>
    </row>
    <row r="125" spans="1:10" x14ac:dyDescent="0.35">
      <c r="A125" s="3"/>
      <c r="C125" s="5"/>
      <c r="D125" s="11"/>
      <c r="E125" s="155"/>
      <c r="F125" s="144"/>
      <c r="G125" s="155"/>
      <c r="H125" s="144"/>
      <c r="I125" s="155"/>
      <c r="J125" s="144"/>
    </row>
    <row r="126" spans="1:10" s="1" customFormat="1" ht="15" thickBot="1" x14ac:dyDescent="0.4">
      <c r="A126" s="6" t="s">
        <v>32</v>
      </c>
      <c r="C126" s="13"/>
      <c r="D126" s="29"/>
      <c r="E126" s="153"/>
      <c r="F126" s="164"/>
      <c r="G126" s="153"/>
      <c r="H126" s="164"/>
      <c r="I126" s="153"/>
      <c r="J126" s="164"/>
    </row>
    <row r="127" spans="1:10" x14ac:dyDescent="0.35">
      <c r="A127" s="46" t="s">
        <v>63</v>
      </c>
      <c r="B127" s="44"/>
      <c r="C127" s="123">
        <f t="shared" ref="C127:D127" si="14">SUM(0)</f>
        <v>0</v>
      </c>
      <c r="D127" s="152">
        <f t="shared" si="14"/>
        <v>0</v>
      </c>
      <c r="E127" s="162"/>
      <c r="F127" s="152"/>
      <c r="G127" s="162"/>
      <c r="H127" s="152"/>
      <c r="I127" s="162"/>
      <c r="J127" s="148"/>
    </row>
    <row r="128" spans="1:10" x14ac:dyDescent="0.35">
      <c r="A128" s="3"/>
      <c r="C128" s="5"/>
      <c r="D128" s="11"/>
      <c r="E128" s="155"/>
      <c r="F128" s="151"/>
      <c r="G128" s="155"/>
      <c r="H128" s="151"/>
      <c r="I128" s="155"/>
      <c r="J128" s="144"/>
    </row>
    <row r="129" spans="1:10" s="1" customFormat="1" ht="15" thickBot="1" x14ac:dyDescent="0.4">
      <c r="A129" s="43" t="s">
        <v>169</v>
      </c>
      <c r="B129" s="41"/>
      <c r="C129" s="59">
        <f t="shared" ref="C129" si="15">C124-C127</f>
        <v>527418.985099999</v>
      </c>
      <c r="D129" s="113">
        <f>D124-D127</f>
        <v>148300</v>
      </c>
      <c r="E129" s="161">
        <f t="shared" ref="E129:J129" si="16">E124-E127</f>
        <v>296247.09099999996</v>
      </c>
      <c r="F129" s="103">
        <f t="shared" si="16"/>
        <v>81000</v>
      </c>
      <c r="G129" s="161">
        <f t="shared" si="16"/>
        <v>181420.58209999997</v>
      </c>
      <c r="H129" s="103">
        <f t="shared" si="16"/>
        <v>86300</v>
      </c>
      <c r="I129" s="161">
        <f t="shared" si="16"/>
        <v>49712.952000000165</v>
      </c>
      <c r="J129" s="147">
        <f t="shared" si="16"/>
        <v>-19000</v>
      </c>
    </row>
    <row r="130" spans="1:10" ht="15" thickTop="1" x14ac:dyDescent="0.35"/>
    <row r="255" spans="2:2" hidden="1" x14ac:dyDescent="0.35"/>
    <row r="256" spans="2:2" hidden="1" x14ac:dyDescent="0.35">
      <c r="B256" t="str">
        <f>VLOOKUP(RIGHT(202411,2),MANED2,2,FALSE)&amp;" - "</f>
        <v xml:space="preserve">November - </v>
      </c>
    </row>
    <row r="257" spans="1:2" hidden="1" x14ac:dyDescent="0.35">
      <c r="B257" t="str">
        <f>VLOOKUP(RIGHT(202412,2),MANED2,2,FALSE)&amp;"  "&amp;LEFT(202412,4)</f>
        <v>Desember  2024</v>
      </c>
    </row>
    <row r="258" spans="1:2" hidden="1" x14ac:dyDescent="0.35"/>
    <row r="259" spans="1:2" hidden="1" x14ac:dyDescent="0.35"/>
    <row r="260" spans="1:2" hidden="1" x14ac:dyDescent="0.35"/>
    <row r="261" spans="1:2" hidden="1" x14ac:dyDescent="0.35">
      <c r="A261" s="35" t="s">
        <v>46</v>
      </c>
      <c r="B261" s="33" t="s">
        <v>130</v>
      </c>
    </row>
    <row r="262" spans="1:2" hidden="1" x14ac:dyDescent="0.35">
      <c r="A262" s="35" t="s">
        <v>96</v>
      </c>
      <c r="B262" s="33" t="s">
        <v>1</v>
      </c>
    </row>
    <row r="263" spans="1:2" hidden="1" x14ac:dyDescent="0.35">
      <c r="A263" s="35" t="s">
        <v>131</v>
      </c>
      <c r="B263" s="33" t="s">
        <v>47</v>
      </c>
    </row>
    <row r="264" spans="1:2" hidden="1" x14ac:dyDescent="0.35">
      <c r="A264" s="35" t="s">
        <v>2</v>
      </c>
      <c r="B264" s="33" t="s">
        <v>15</v>
      </c>
    </row>
    <row r="265" spans="1:2" hidden="1" x14ac:dyDescent="0.35">
      <c r="A265" s="35" t="s">
        <v>48</v>
      </c>
      <c r="B265" s="33" t="s">
        <v>117</v>
      </c>
    </row>
    <row r="266" spans="1:2" hidden="1" x14ac:dyDescent="0.35">
      <c r="A266" s="35" t="s">
        <v>97</v>
      </c>
      <c r="B266" s="33" t="s">
        <v>154</v>
      </c>
    </row>
    <row r="267" spans="1:2" hidden="1" x14ac:dyDescent="0.35">
      <c r="A267" s="35" t="s">
        <v>132</v>
      </c>
      <c r="B267" s="33" t="s">
        <v>70</v>
      </c>
    </row>
    <row r="268" spans="1:2" hidden="1" x14ac:dyDescent="0.35">
      <c r="A268" s="35" t="s">
        <v>3</v>
      </c>
      <c r="B268" s="33" t="s">
        <v>71</v>
      </c>
    </row>
    <row r="269" spans="1:2" hidden="1" x14ac:dyDescent="0.35">
      <c r="A269" s="35" t="s">
        <v>49</v>
      </c>
      <c r="B269" s="33" t="s">
        <v>64</v>
      </c>
    </row>
    <row r="270" spans="1:2" hidden="1" x14ac:dyDescent="0.35">
      <c r="A270" s="35" t="s">
        <v>133</v>
      </c>
      <c r="B270" s="33" t="s">
        <v>118</v>
      </c>
    </row>
    <row r="271" spans="1:2" hidden="1" x14ac:dyDescent="0.35">
      <c r="A271" s="35" t="s">
        <v>4</v>
      </c>
      <c r="B271" s="33" t="s">
        <v>5</v>
      </c>
    </row>
    <row r="272" spans="1:2" hidden="1" x14ac:dyDescent="0.35">
      <c r="A272" s="35" t="s">
        <v>50</v>
      </c>
      <c r="B272" s="33" t="s">
        <v>72</v>
      </c>
    </row>
    <row r="273" hidden="1" x14ac:dyDescent="0.35"/>
  </sheetData>
  <mergeCells count="5">
    <mergeCell ref="C5:H5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 r:id="rId1"/>
  <ignoredErrors>
    <ignoredError sqref="D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2"/>
  <sheetViews>
    <sheetView workbookViewId="0"/>
  </sheetViews>
  <sheetFormatPr baseColWidth="10" defaultColWidth="11.453125" defaultRowHeight="14.5" x14ac:dyDescent="0.35"/>
  <cols>
    <col min="1" max="1" width="10.81640625" customWidth="1"/>
    <col min="2" max="2" width="40.7265625" customWidth="1"/>
    <col min="3" max="4" width="15" customWidth="1"/>
    <col min="5" max="5" width="15" style="12" customWidth="1"/>
    <col min="6" max="9" width="15.1796875" style="12" customWidth="1"/>
  </cols>
  <sheetData>
    <row r="1" spans="1:9" x14ac:dyDescent="0.35">
      <c r="A1" t="s">
        <v>107</v>
      </c>
    </row>
    <row r="3" spans="1:9" ht="26" x14ac:dyDescent="0.6">
      <c r="A3" s="36" t="str">
        <f>_xll.OneStop.ReportPlayer.OSRFunctions.OSRGet("ThisCompany","CompanyName")</f>
        <v>[ThisCompany.CompanyName]</v>
      </c>
      <c r="F3" s="39" t="s">
        <v>65</v>
      </c>
      <c r="I3" s="34" t="s">
        <v>81</v>
      </c>
    </row>
    <row r="4" spans="1:9" ht="15.5" x14ac:dyDescent="0.35">
      <c r="F4" s="72" t="e">
        <f>CONCATENATE(B155," ",B156)</f>
        <v>#N/A</v>
      </c>
      <c r="I4" s="32">
        <f ca="1">NOW()</f>
        <v>45755.783617476853</v>
      </c>
    </row>
    <row r="5" spans="1:9" x14ac:dyDescent="0.35">
      <c r="A5" t="s">
        <v>126</v>
      </c>
    </row>
    <row r="6" spans="1:9" ht="15" thickBot="1" x14ac:dyDescent="0.4"/>
    <row r="7" spans="1:9" s="1" customFormat="1" ht="15" thickTop="1" x14ac:dyDescent="0.35">
      <c r="A7" s="37"/>
      <c r="B7" s="30"/>
      <c r="C7" s="76" t="s">
        <v>108</v>
      </c>
      <c r="D7" s="76" t="s">
        <v>108</v>
      </c>
      <c r="E7" s="42" t="s">
        <v>12</v>
      </c>
      <c r="F7" s="51" t="s">
        <v>12</v>
      </c>
      <c r="G7" s="25"/>
      <c r="H7" s="96" t="s">
        <v>13</v>
      </c>
      <c r="I7" s="25"/>
    </row>
    <row r="8" spans="1:9" s="1" customFormat="1" ht="15" thickBot="1" x14ac:dyDescent="0.4">
      <c r="A8" s="21"/>
      <c r="B8" s="15"/>
      <c r="C8" s="74" t="s">
        <v>13</v>
      </c>
      <c r="D8" s="74" t="s">
        <v>127</v>
      </c>
      <c r="E8" s="47" t="s">
        <v>13</v>
      </c>
      <c r="F8" s="69" t="s">
        <v>127</v>
      </c>
      <c r="G8" s="23" t="s">
        <v>82</v>
      </c>
      <c r="H8" s="100" t="s">
        <v>95</v>
      </c>
      <c r="I8" s="23" t="s">
        <v>82</v>
      </c>
    </row>
    <row r="9" spans="1:9" s="1" customFormat="1" x14ac:dyDescent="0.35">
      <c r="A9" s="6" t="s">
        <v>0</v>
      </c>
      <c r="C9" s="73"/>
      <c r="D9" s="73"/>
      <c r="E9" s="49"/>
      <c r="F9" s="63"/>
      <c r="G9" s="18"/>
      <c r="H9" s="99"/>
      <c r="I9" s="18"/>
    </row>
    <row r="10" spans="1:9" ht="15" thickBot="1" x14ac:dyDescent="0.4">
      <c r="A10" s="3" t="str">
        <f>_xll.OneStop.ReportPlayer.OSRFunctions.OSRGet("Journal_Account","AccountNo")</f>
        <v>[Journal_Account.AccountNo]</v>
      </c>
      <c r="B10" t="str">
        <f>_xll.OneStop.ReportPlayer.OSRFunctions.OSRGet("Journal_Account","AccountName")</f>
        <v>[Journal_Account.AccountName]</v>
      </c>
      <c r="C10" s="11" t="e">
        <f>-_xll.OneStop.ReportPlayer.OSRFunctions.OSRGet("Journal_SubEntry","AmtCur")</f>
        <v>#VALUE!</v>
      </c>
      <c r="D10" s="11" t="e">
        <f>-_xll.OneStop.ReportPlayer.OSRFunctions.OSRGet("Journal_SubEntry","AmtCur")</f>
        <v>#VALUE!</v>
      </c>
      <c r="E10" s="5" t="e">
        <f>-_xll.OneStop.ReportPlayer.OSRFunctions.OSRGet("Journal_SubEntry","AmtCur")</f>
        <v>#VALUE!</v>
      </c>
      <c r="F10" s="14" t="e">
        <f>-_xll.OneStop.ReportPlayer.OSRFunctions.OSRGet("Journal_SubEntry","AmtCur")</f>
        <v>#VALUE!</v>
      </c>
      <c r="G10" s="2" t="e">
        <f t="shared" ref="G10:G11" si="0">E10-F10</f>
        <v>#VALUE!</v>
      </c>
      <c r="H10" s="27" t="str">
        <f>_xll.OneStop.ReportPlayer.OSRFunctions.OSRGet("FactBudgetTrans","Budget Amount")</f>
        <v>[FactBudgetTrans.Budget Amount]</v>
      </c>
      <c r="I10" s="2" t="e">
        <f t="shared" ref="I10:I11" si="1">E10-H10</f>
        <v>#VALUE!</v>
      </c>
    </row>
    <row r="11" spans="1:9" s="1" customFormat="1" ht="15" thickBot="1" x14ac:dyDescent="0.4">
      <c r="A11" s="20" t="s">
        <v>83</v>
      </c>
      <c r="B11" s="17"/>
      <c r="C11" s="75">
        <f>SUM(_xll.OneStop.ReportPlayer.OSRFunctions.OSRRef(C10))</f>
        <v>0</v>
      </c>
      <c r="D11" s="75">
        <f>SUM(_xll.OneStop.ReportPlayer.OSRFunctions.OSRRef(D10))</f>
        <v>0</v>
      </c>
      <c r="E11" s="81">
        <f>SUM(_xll.OneStop.ReportPlayer.OSRFunctions.OSRRef(E10))</f>
        <v>0</v>
      </c>
      <c r="F11" s="83">
        <f>SUM(_xll.OneStop.ReportPlayer.OSRFunctions.OSRRef(F10))</f>
        <v>0</v>
      </c>
      <c r="G11" s="40">
        <f t="shared" si="0"/>
        <v>0</v>
      </c>
      <c r="H11" s="104">
        <f>SUM(_xll.OneStop.ReportPlayer.OSRFunctions.OSRRef(H10))</f>
        <v>0</v>
      </c>
      <c r="I11" s="40">
        <f t="shared" si="1"/>
        <v>0</v>
      </c>
    </row>
    <row r="12" spans="1:9" x14ac:dyDescent="0.35">
      <c r="A12" s="3"/>
      <c r="C12" s="11"/>
      <c r="D12" s="11"/>
      <c r="E12" s="5"/>
      <c r="F12" s="14"/>
      <c r="G12" s="2"/>
      <c r="H12" s="27"/>
      <c r="I12" s="2"/>
    </row>
    <row r="13" spans="1:9" s="1" customFormat="1" x14ac:dyDescent="0.35">
      <c r="A13" s="6" t="s">
        <v>152</v>
      </c>
      <c r="C13" s="29"/>
      <c r="D13" s="29"/>
      <c r="E13" s="13"/>
      <c r="F13" s="38"/>
      <c r="G13" s="4"/>
      <c r="H13" s="64"/>
      <c r="I13" s="4"/>
    </row>
    <row r="14" spans="1:9" ht="15" thickBot="1" x14ac:dyDescent="0.4">
      <c r="A14" s="3" t="str">
        <f>_xll.OneStop.ReportPlayer.OSRFunctions.OSRGet("Journal_Account","AccountNo")</f>
        <v>[Journal_Account.AccountNo]</v>
      </c>
      <c r="B14" t="str">
        <f>_xll.OneStop.ReportPlayer.OSRFunctions.OSRGet("Journal_Account","AccountName")</f>
        <v>[Journal_Account.AccountName]</v>
      </c>
      <c r="C14" s="11" t="str">
        <f>_xll.OneStop.ReportPlayer.OSRFunctions.OSRGet("Journal_SubEntry","AmtCur")</f>
        <v>[Journal_SubEntry.AmtCur]</v>
      </c>
      <c r="D14" s="11" t="str">
        <f>_xll.OneStop.ReportPlayer.OSRFunctions.OSRGet("Journal_SubEntry","AmtCur")</f>
        <v>[Journal_SubEntry.AmtCur]</v>
      </c>
      <c r="E14" s="5" t="str">
        <f>_xll.OneStop.ReportPlayer.OSRFunctions.OSRGet("Journal_SubEntry","AmtCur")</f>
        <v>[Journal_SubEntry.AmtCur]</v>
      </c>
      <c r="F14" s="14" t="str">
        <f>_xll.OneStop.ReportPlayer.OSRFunctions.OSRGet("Journal_SubEntry","AmtCur")</f>
        <v>[Journal_SubEntry.AmtCur]</v>
      </c>
      <c r="G14" s="2" t="e">
        <f t="shared" ref="G14:G15" si="2">E14-F14</f>
        <v>#VALUE!</v>
      </c>
      <c r="H14" s="27" t="str">
        <f>_xll.OneStop.ReportPlayer.OSRFunctions.OSRGet("FactBudgetTrans","Budget Amount")</f>
        <v>[FactBudgetTrans.Budget Amount]</v>
      </c>
      <c r="I14" s="2" t="e">
        <f t="shared" ref="I14:I15" si="3">E14-H14</f>
        <v>#VALUE!</v>
      </c>
    </row>
    <row r="15" spans="1:9" s="1" customFormat="1" ht="15" thickBot="1" x14ac:dyDescent="0.4">
      <c r="A15" s="20" t="s">
        <v>84</v>
      </c>
      <c r="B15" s="17"/>
      <c r="C15" s="75">
        <f>SUM(_xll.OneStop.ReportPlayer.OSRFunctions.OSRRef(C14))</f>
        <v>0</v>
      </c>
      <c r="D15" s="75">
        <f>SUM(_xll.OneStop.ReportPlayer.OSRFunctions.OSRRef(D14))</f>
        <v>0</v>
      </c>
      <c r="E15" s="81">
        <f>SUM(_xll.OneStop.ReportPlayer.OSRFunctions.OSRRef(E14))</f>
        <v>0</v>
      </c>
      <c r="F15" s="83">
        <f>SUM(_xll.OneStop.ReportPlayer.OSRFunctions.OSRRef(F14))</f>
        <v>0</v>
      </c>
      <c r="G15" s="40">
        <f t="shared" si="2"/>
        <v>0</v>
      </c>
      <c r="H15" s="104">
        <f>SUM(_xll.OneStop.ReportPlayer.OSRFunctions.OSRRef(H14))</f>
        <v>0</v>
      </c>
      <c r="I15" s="40">
        <f t="shared" si="3"/>
        <v>0</v>
      </c>
    </row>
    <row r="16" spans="1:9" x14ac:dyDescent="0.35">
      <c r="A16" s="3"/>
      <c r="C16" s="11"/>
      <c r="D16" s="11"/>
      <c r="E16" s="5"/>
      <c r="F16" s="14"/>
      <c r="G16" s="2"/>
      <c r="H16" s="27"/>
      <c r="I16" s="2"/>
    </row>
    <row r="17" spans="1:9" s="1" customFormat="1" x14ac:dyDescent="0.35">
      <c r="A17" s="6" t="s">
        <v>14</v>
      </c>
      <c r="C17" s="29"/>
      <c r="D17" s="29"/>
      <c r="E17" s="13"/>
      <c r="F17" s="38"/>
      <c r="G17" s="4"/>
      <c r="H17" s="64"/>
      <c r="I17" s="4"/>
    </row>
    <row r="18" spans="1:9" s="1" customFormat="1" x14ac:dyDescent="0.35">
      <c r="A18" s="3" t="str">
        <f>_xll.OneStop.ReportPlayer.OSRFunctions.OSRGet("Journal_Account","AccountNo")</f>
        <v>[Journal_Account.AccountNo]</v>
      </c>
      <c r="B18" t="str">
        <f>_xll.OneStop.ReportPlayer.OSRFunctions.OSRGet("Journal_Account","AccountName")</f>
        <v>[Journal_Account.AccountName]</v>
      </c>
      <c r="C18" s="11" t="str">
        <f>_xll.OneStop.ReportPlayer.OSRFunctions.OSRGet("Journal_SubEntry","AmtCur")</f>
        <v>[Journal_SubEntry.AmtCur]</v>
      </c>
      <c r="D18" s="11" t="str">
        <f>_xll.OneStop.ReportPlayer.OSRFunctions.OSRGet("Journal_SubEntry","AmtCur")</f>
        <v>[Journal_SubEntry.AmtCur]</v>
      </c>
      <c r="E18" s="5" t="str">
        <f>_xll.OneStop.ReportPlayer.OSRFunctions.OSRGet("Journal_SubEntry","AmtCur")</f>
        <v>[Journal_SubEntry.AmtCur]</v>
      </c>
      <c r="F18" s="14" t="str">
        <f>_xll.OneStop.ReportPlayer.OSRFunctions.OSRGet("Journal_SubEntry","AmtCur")</f>
        <v>[Journal_SubEntry.AmtCur]</v>
      </c>
      <c r="G18" s="2" t="e">
        <f t="shared" ref="G18:G20" si="4">E18-F18</f>
        <v>#VALUE!</v>
      </c>
      <c r="H18" s="27" t="e">
        <f>-_xll.OneStop.ReportPlayer.OSRFunctions.OSRGet("FactBudgetTrans","Budget Amount")</f>
        <v>#VALUE!</v>
      </c>
      <c r="I18" s="2" t="e">
        <f t="shared" ref="I18:I20" si="5">E18-H18</f>
        <v>#VALUE!</v>
      </c>
    </row>
    <row r="19" spans="1:9" ht="15" thickBot="1" x14ac:dyDescent="0.4">
      <c r="A19" s="3" t="str">
        <f>_xll.OneStop.ReportPlayer.OSRFunctions.OSRGet("Journal_Account","AccountNo")</f>
        <v>[Journal_Account.AccountNo]</v>
      </c>
      <c r="B19" t="str">
        <f>_xll.OneStop.ReportPlayer.OSRFunctions.OSRGet("Journal_Account","AccountName")</f>
        <v>[Journal_Account.AccountName]</v>
      </c>
      <c r="C19" s="11" t="str">
        <f>_xll.OneStop.ReportPlayer.OSRFunctions.OSRGet("Journal_SubEntry","AmtCur")</f>
        <v>[Journal_SubEntry.AmtCur]</v>
      </c>
      <c r="D19" s="11" t="str">
        <f>_xll.OneStop.ReportPlayer.OSRFunctions.OSRGet("Journal_SubEntry","AmtCur")</f>
        <v>[Journal_SubEntry.AmtCur]</v>
      </c>
      <c r="E19" s="5" t="str">
        <f>_xll.OneStop.ReportPlayer.OSRFunctions.OSRGet("Journal_SubEntry","AmtCur")</f>
        <v>[Journal_SubEntry.AmtCur]</v>
      </c>
      <c r="F19" s="14" t="str">
        <f>_xll.OneStop.ReportPlayer.OSRFunctions.OSRGet("Journal_SubEntry","AmtCur")</f>
        <v>[Journal_SubEntry.AmtCur]</v>
      </c>
      <c r="G19" s="2" t="e">
        <f t="shared" si="4"/>
        <v>#VALUE!</v>
      </c>
      <c r="H19" s="27" t="str">
        <f>_xll.OneStop.ReportPlayer.OSRFunctions.OSRGet("FactBudgetTrans","Budget Amount")</f>
        <v>[FactBudgetTrans.Budget Amount]</v>
      </c>
      <c r="I19" s="2" t="e">
        <f t="shared" si="5"/>
        <v>#VALUE!</v>
      </c>
    </row>
    <row r="20" spans="1:9" s="1" customFormat="1" x14ac:dyDescent="0.35">
      <c r="A20" s="48" t="s">
        <v>25</v>
      </c>
      <c r="B20" s="45"/>
      <c r="C20" s="79">
        <f>SUM(_xll.OneStop.ReportPlayer.OSRFunctions.OSRRef(C18))+SUM(_xll.OneStop.ReportPlayer.OSRFunctions.OSRRef(C19))</f>
        <v>0</v>
      </c>
      <c r="D20" s="79">
        <f>SUM(_xll.OneStop.ReportPlayer.OSRFunctions.OSRRef(D18))+SUM(_xll.OneStop.ReportPlayer.OSRFunctions.OSRRef(D19))</f>
        <v>0</v>
      </c>
      <c r="E20" s="85">
        <f>SUM(_xll.OneStop.ReportPlayer.OSRFunctions.OSRRef(E18))+SUM(_xll.OneStop.ReportPlayer.OSRFunctions.OSRRef(E19))</f>
        <v>0</v>
      </c>
      <c r="F20" s="141">
        <f>SUM(_xll.OneStop.ReportPlayer.OSRFunctions.OSRRef(F18))+SUM(_xll.OneStop.ReportPlayer.OSRFunctions.OSRRef(F19))</f>
        <v>0</v>
      </c>
      <c r="G20" s="68">
        <f t="shared" si="4"/>
        <v>0</v>
      </c>
      <c r="H20" s="119">
        <f>SUM(_xll.OneStop.ReportPlayer.OSRFunctions.OSRRef(H18))+SUM(_xll.OneStop.ReportPlayer.OSRFunctions.OSRRef(H19))</f>
        <v>0</v>
      </c>
      <c r="I20" s="68">
        <f t="shared" si="5"/>
        <v>0</v>
      </c>
    </row>
    <row r="21" spans="1:9" x14ac:dyDescent="0.35">
      <c r="A21" s="3"/>
      <c r="C21" s="11"/>
      <c r="D21" s="11"/>
      <c r="E21" s="5"/>
      <c r="F21" s="14"/>
      <c r="G21" s="2"/>
      <c r="H21" s="27"/>
      <c r="I21" s="2"/>
    </row>
    <row r="22" spans="1:9" s="1" customFormat="1" ht="15" thickBot="1" x14ac:dyDescent="0.4">
      <c r="A22" s="21" t="s">
        <v>62</v>
      </c>
      <c r="B22" s="15"/>
      <c r="C22" s="116">
        <f t="shared" ref="C22:F22" si="6">C11-C15-C20</f>
        <v>0</v>
      </c>
      <c r="D22" s="116">
        <f t="shared" si="6"/>
        <v>0</v>
      </c>
      <c r="E22" s="101">
        <f t="shared" si="6"/>
        <v>0</v>
      </c>
      <c r="F22" s="129">
        <f t="shared" si="6"/>
        <v>0</v>
      </c>
      <c r="G22" s="77">
        <f>E22-F22</f>
        <v>0</v>
      </c>
      <c r="H22" s="138">
        <f>H11-H15-H20</f>
        <v>0</v>
      </c>
      <c r="I22" s="77">
        <f>E22-H22</f>
        <v>0</v>
      </c>
    </row>
    <row r="23" spans="1:9" x14ac:dyDescent="0.35">
      <c r="A23" s="3"/>
      <c r="C23" s="11"/>
      <c r="D23" s="11"/>
      <c r="E23" s="5"/>
      <c r="F23" s="14"/>
      <c r="G23" s="2"/>
      <c r="H23" s="27"/>
      <c r="I23" s="2"/>
    </row>
    <row r="24" spans="1:9" s="1" customFormat="1" x14ac:dyDescent="0.35">
      <c r="A24" s="6" t="s">
        <v>32</v>
      </c>
      <c r="C24" s="29"/>
      <c r="D24" s="29"/>
      <c r="E24" s="13"/>
      <c r="F24" s="38"/>
      <c r="G24" s="4"/>
      <c r="H24" s="64"/>
      <c r="I24" s="4"/>
    </row>
    <row r="25" spans="1:9" ht="15" thickBot="1" x14ac:dyDescent="0.4">
      <c r="A25" s="3" t="str">
        <f>_xll.OneStop.ReportPlayer.OSRFunctions.OSRGet("Journal_Account","AccountNo")</f>
        <v>[Journal_Account.AccountNo]</v>
      </c>
      <c r="B25" t="str">
        <f>_xll.OneStop.ReportPlayer.OSRFunctions.OSRGet("Journal_Account","AccountName")</f>
        <v>[Journal_Account.AccountName]</v>
      </c>
      <c r="C25" s="11" t="str">
        <f>_xll.OneStop.ReportPlayer.OSRFunctions.OSRGet("Journal_SubEntry","AmtCur")</f>
        <v>[Journal_SubEntry.AmtCur]</v>
      </c>
      <c r="D25" s="11" t="str">
        <f>_xll.OneStop.ReportPlayer.OSRFunctions.OSRGet("Journal_SubEntry","AmtCur")</f>
        <v>[Journal_SubEntry.AmtCur]</v>
      </c>
      <c r="E25" s="5" t="str">
        <f>_xll.OneStop.ReportPlayer.OSRFunctions.OSRGet("Journal_SubEntry","AmtCur")</f>
        <v>[Journal_SubEntry.AmtCur]</v>
      </c>
      <c r="F25" s="14" t="str">
        <f>_xll.OneStop.ReportPlayer.OSRFunctions.OSRGet("Journal_SubEntry","AmtCur")</f>
        <v>[Journal_SubEntry.AmtCur]</v>
      </c>
      <c r="G25" s="2" t="e">
        <f t="shared" ref="G25:G26" si="7">E25-F25</f>
        <v>#VALUE!</v>
      </c>
      <c r="H25" s="27" t="str">
        <f>_xll.OneStop.ReportPlayer.OSRFunctions.OSRGet("FactBudgetTrans","Budget Amount")</f>
        <v>[FactBudgetTrans.Budget Amount]</v>
      </c>
      <c r="I25" s="2" t="e">
        <f t="shared" ref="I25:I26" si="8">E25-H25</f>
        <v>#VALUE!</v>
      </c>
    </row>
    <row r="26" spans="1:9" x14ac:dyDescent="0.35">
      <c r="A26" s="46" t="s">
        <v>63</v>
      </c>
      <c r="B26" s="44"/>
      <c r="C26" s="79">
        <f>SUM(_xll.OneStop.ReportPlayer.OSRFunctions.OSRRef(C25))</f>
        <v>0</v>
      </c>
      <c r="D26" s="79">
        <f>SUM(_xll.OneStop.ReportPlayer.OSRFunctions.OSRRef(D25))</f>
        <v>0</v>
      </c>
      <c r="E26" s="122">
        <f>SUM(_xll.OneStop.ReportPlayer.OSRFunctions.OSRRef(E25))</f>
        <v>0</v>
      </c>
      <c r="F26" s="132">
        <f>SUM(_xll.OneStop.ReportPlayer.OSRFunctions.OSRRef(F25))</f>
        <v>0</v>
      </c>
      <c r="G26" s="91">
        <f t="shared" si="7"/>
        <v>0</v>
      </c>
      <c r="H26" s="124">
        <f>SUM(_xll.OneStop.ReportPlayer.OSRFunctions.OSRRef(H25))</f>
        <v>0</v>
      </c>
      <c r="I26" s="91">
        <f t="shared" si="8"/>
        <v>0</v>
      </c>
    </row>
    <row r="27" spans="1:9" x14ac:dyDescent="0.35">
      <c r="A27" s="3"/>
      <c r="C27" s="11"/>
      <c r="D27" s="11"/>
      <c r="E27" s="5"/>
      <c r="F27" s="14"/>
      <c r="G27" s="2"/>
      <c r="H27" s="27"/>
      <c r="I27" s="2"/>
    </row>
    <row r="28" spans="1:9" s="1" customFormat="1" ht="15" thickBot="1" x14ac:dyDescent="0.4">
      <c r="A28" s="43" t="s">
        <v>100</v>
      </c>
      <c r="B28" s="41"/>
      <c r="C28" s="93">
        <f t="shared" ref="C28:F28" si="9">C22-C26</f>
        <v>0</v>
      </c>
      <c r="D28" s="93">
        <f t="shared" si="9"/>
        <v>0</v>
      </c>
      <c r="E28" s="110">
        <f t="shared" si="9"/>
        <v>0</v>
      </c>
      <c r="F28" s="134">
        <f t="shared" si="9"/>
        <v>0</v>
      </c>
      <c r="G28" s="82">
        <f>E28-F28</f>
        <v>0</v>
      </c>
      <c r="H28" s="120">
        <f>H22-H26</f>
        <v>0</v>
      </c>
      <c r="I28" s="82">
        <f>E28-H28</f>
        <v>0</v>
      </c>
    </row>
    <row r="29" spans="1:9" ht="15" thickTop="1" x14ac:dyDescent="0.35"/>
    <row r="154" spans="1:2" hidden="1" x14ac:dyDescent="0.35"/>
    <row r="155" spans="1:2" hidden="1" x14ac:dyDescent="0.35">
      <c r="B155" t="e">
        <f>VLOOKUP(RIGHT(_xll.OneStop.ReportPlayer.OSRFunctions.OSRGet("Period","PeriodId"),2),MANED2,2,FALSE)&amp;" - "</f>
        <v>#N/A</v>
      </c>
    </row>
    <row r="156" spans="1:2" hidden="1" x14ac:dyDescent="0.35">
      <c r="B156" t="e">
        <f>VLOOKUP(RIGHT(_xll.OneStop.ReportPlayer.OSRFunctions.OSRGet("Period","PeriodId"),2),MANED2,2,FALSE)&amp;"  "&amp;LEFT(_xll.OneStop.ReportPlayer.OSRFunctions.OSRGet("Period","PeriodId"),4)</f>
        <v>#N/A</v>
      </c>
    </row>
    <row r="157" spans="1:2" hidden="1" x14ac:dyDescent="0.35"/>
    <row r="158" spans="1:2" hidden="1" x14ac:dyDescent="0.35"/>
    <row r="159" spans="1:2" hidden="1" x14ac:dyDescent="0.35"/>
    <row r="160" spans="1:2" hidden="1" x14ac:dyDescent="0.35">
      <c r="A160" s="35" t="s">
        <v>46</v>
      </c>
      <c r="B160" s="33" t="s">
        <v>130</v>
      </c>
    </row>
    <row r="161" spans="1:2" hidden="1" x14ac:dyDescent="0.35">
      <c r="A161" s="35" t="s">
        <v>96</v>
      </c>
      <c r="B161" s="33" t="s">
        <v>1</v>
      </c>
    </row>
    <row r="162" spans="1:2" hidden="1" x14ac:dyDescent="0.35">
      <c r="A162" s="35" t="s">
        <v>131</v>
      </c>
      <c r="B162" s="33" t="s">
        <v>47</v>
      </c>
    </row>
    <row r="163" spans="1:2" hidden="1" x14ac:dyDescent="0.35">
      <c r="A163" s="35" t="s">
        <v>2</v>
      </c>
      <c r="B163" s="33" t="s">
        <v>15</v>
      </c>
    </row>
    <row r="164" spans="1:2" hidden="1" x14ac:dyDescent="0.35">
      <c r="A164" s="35" t="s">
        <v>48</v>
      </c>
      <c r="B164" s="33" t="s">
        <v>117</v>
      </c>
    </row>
    <row r="165" spans="1:2" hidden="1" x14ac:dyDescent="0.35">
      <c r="A165" s="35" t="s">
        <v>97</v>
      </c>
      <c r="B165" s="33" t="s">
        <v>154</v>
      </c>
    </row>
    <row r="166" spans="1:2" hidden="1" x14ac:dyDescent="0.35">
      <c r="A166" s="35" t="s">
        <v>132</v>
      </c>
      <c r="B166" s="33" t="s">
        <v>70</v>
      </c>
    </row>
    <row r="167" spans="1:2" hidden="1" x14ac:dyDescent="0.35">
      <c r="A167" s="35" t="s">
        <v>3</v>
      </c>
      <c r="B167" s="33" t="s">
        <v>71</v>
      </c>
    </row>
    <row r="168" spans="1:2" hidden="1" x14ac:dyDescent="0.35">
      <c r="A168" s="35" t="s">
        <v>49</v>
      </c>
      <c r="B168" s="33" t="s">
        <v>64</v>
      </c>
    </row>
    <row r="169" spans="1:2" hidden="1" x14ac:dyDescent="0.35">
      <c r="A169" s="35" t="s">
        <v>133</v>
      </c>
      <c r="B169" s="33" t="s">
        <v>118</v>
      </c>
    </row>
    <row r="170" spans="1:2" hidden="1" x14ac:dyDescent="0.35">
      <c r="A170" s="35" t="s">
        <v>4</v>
      </c>
      <c r="B170" s="33" t="s">
        <v>5</v>
      </c>
    </row>
    <row r="171" spans="1:2" hidden="1" x14ac:dyDescent="0.35">
      <c r="A171" s="35" t="s">
        <v>50</v>
      </c>
      <c r="B171" s="33" t="s">
        <v>72</v>
      </c>
    </row>
    <row r="172" spans="1:2" hidden="1" x14ac:dyDescent="0.35"/>
  </sheetData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0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10.26953125" customWidth="1"/>
    <col min="2" max="2" width="41.7265625" customWidth="1"/>
    <col min="3" max="3" width="14.81640625" customWidth="1"/>
    <col min="4" max="4" width="14.81640625" hidden="1" customWidth="1"/>
    <col min="5" max="5" width="15.81640625" customWidth="1"/>
    <col min="6" max="7" width="15.81640625" hidden="1" customWidth="1"/>
    <col min="8" max="9" width="15.81640625" customWidth="1"/>
  </cols>
  <sheetData>
    <row r="1" spans="1:11" x14ac:dyDescent="0.35">
      <c r="A1" t="s">
        <v>107</v>
      </c>
      <c r="E1" s="12"/>
      <c r="F1" s="12"/>
      <c r="G1" s="12"/>
      <c r="H1" s="12"/>
      <c r="I1" s="12"/>
      <c r="J1" s="12"/>
      <c r="K1" s="12"/>
    </row>
    <row r="2" spans="1:11" x14ac:dyDescent="0.35">
      <c r="E2" s="12"/>
      <c r="F2" s="12"/>
      <c r="G2" s="12"/>
      <c r="H2" s="12"/>
      <c r="I2" s="12"/>
      <c r="J2" s="12"/>
      <c r="K2" s="12"/>
    </row>
    <row r="3" spans="1:11" ht="26" x14ac:dyDescent="0.6">
      <c r="A3" s="36" t="str">
        <f>_xll.OneStop.ReportPlayer.OSRFunctions.OSRGet("ThisCompany","CompanyName")</f>
        <v>[ThisCompany.CompanyName]</v>
      </c>
      <c r="E3" s="12"/>
      <c r="F3" s="12"/>
      <c r="G3" s="12"/>
      <c r="H3" s="39" t="s">
        <v>151</v>
      </c>
      <c r="I3" s="12"/>
      <c r="J3" s="12"/>
      <c r="K3" s="34" t="s">
        <v>81</v>
      </c>
    </row>
    <row r="4" spans="1:11" ht="15.5" x14ac:dyDescent="0.35">
      <c r="E4" s="12"/>
      <c r="F4" s="12"/>
      <c r="G4" s="12"/>
      <c r="H4" s="72" t="e">
        <f>CONCATENATE(B154," ",B155)</f>
        <v>#N/A</v>
      </c>
      <c r="I4" s="12"/>
      <c r="J4" s="12"/>
      <c r="K4" s="32">
        <f ca="1">NOW()</f>
        <v>45755.783617476853</v>
      </c>
    </row>
    <row r="5" spans="1:11" x14ac:dyDescent="0.35">
      <c r="A5" t="s">
        <v>126</v>
      </c>
      <c r="E5" s="12"/>
      <c r="F5" s="12"/>
      <c r="G5" s="12"/>
      <c r="H5" s="12"/>
      <c r="I5" s="12"/>
      <c r="J5" s="12"/>
      <c r="K5" s="12"/>
    </row>
    <row r="6" spans="1:11" ht="15" thickBot="1" x14ac:dyDescent="0.4">
      <c r="E6" s="12"/>
      <c r="F6" s="12"/>
      <c r="G6" s="12"/>
      <c r="H6" s="12"/>
      <c r="I6" s="12"/>
      <c r="J6" s="12"/>
      <c r="K6" s="12"/>
    </row>
    <row r="7" spans="1:11" ht="15" thickTop="1" x14ac:dyDescent="0.35">
      <c r="A7" s="37"/>
      <c r="B7" s="30"/>
      <c r="C7" s="89">
        <v>42736</v>
      </c>
      <c r="D7" s="30" t="s">
        <v>26</v>
      </c>
      <c r="E7" s="107" t="s">
        <v>12</v>
      </c>
      <c r="F7" s="51"/>
      <c r="G7" s="51"/>
      <c r="H7" s="98" t="s">
        <v>12</v>
      </c>
      <c r="I7" s="25"/>
    </row>
    <row r="8" spans="1:11" ht="15" thickBot="1" x14ac:dyDescent="0.4">
      <c r="A8" s="21"/>
      <c r="B8" s="15"/>
      <c r="C8" s="15"/>
      <c r="D8" s="15"/>
      <c r="E8" s="115" t="s">
        <v>13</v>
      </c>
      <c r="F8" s="69" t="s">
        <v>16</v>
      </c>
      <c r="G8" s="69" t="s">
        <v>66</v>
      </c>
      <c r="H8" s="105" t="s">
        <v>127</v>
      </c>
      <c r="I8" s="23" t="s">
        <v>116</v>
      </c>
    </row>
    <row r="9" spans="1:11" x14ac:dyDescent="0.35">
      <c r="A9" s="6" t="s">
        <v>128</v>
      </c>
      <c r="B9" s="1"/>
      <c r="C9" s="1"/>
      <c r="D9" s="1"/>
      <c r="E9" s="92"/>
      <c r="F9" s="63"/>
      <c r="G9" s="63"/>
      <c r="H9" s="95"/>
      <c r="I9" s="18"/>
    </row>
    <row r="10" spans="1:11" ht="15" thickBot="1" x14ac:dyDescent="0.4">
      <c r="A10" s="3" t="str">
        <f>_xll.OneStop.ReportPlayer.OSRFunctions.OSRGet("Journal_Account","AccountNo")</f>
        <v>[Journal_Account.AccountNo]</v>
      </c>
      <c r="B10" t="str">
        <f>_xll.OneStop.ReportPlayer.OSRFunctions.OSRGet("Journal_Account","AccountName")</f>
        <v>[Journal_Account.AccountName]</v>
      </c>
      <c r="C10" s="87" t="str">
        <f>_xll.OneStop.ReportPlayer.OSRFunctions.OSRGet("Journal_SubEntry","AmtCur")</f>
        <v>[Journal_SubEntry.AmtCur]</v>
      </c>
      <c r="D10" t="str">
        <f>_xll.OneStop.ReportPlayer.OSRFunctions.OSRGet("Journal_SubEntry","AmtCur")</f>
        <v>[Journal_SubEntry.AmtCur]</v>
      </c>
      <c r="E10" s="80" t="e">
        <f>C10+D10</f>
        <v>#VALUE!</v>
      </c>
      <c r="F10" s="14" t="str">
        <f>_xll.OneStop.ReportPlayer.OSRFunctions.OSRGet("Journal_SubEntry","AmtCur")</f>
        <v>[Journal_SubEntry.AmtCur]</v>
      </c>
      <c r="G10" s="14" t="str">
        <f>_xll.OneStop.ReportPlayer.OSRFunctions.OSRGet("Journal_SubEntry","AmtCur")</f>
        <v>[Journal_SubEntry.AmtCur]</v>
      </c>
      <c r="H10" s="70" t="e">
        <f>F10+G10</f>
        <v>#VALUE!</v>
      </c>
      <c r="I10" s="2" t="e">
        <f t="shared" ref="I10:I11" si="0">E10-H10</f>
        <v>#VALUE!</v>
      </c>
    </row>
    <row r="11" spans="1:11" ht="15" thickBot="1" x14ac:dyDescent="0.4">
      <c r="A11" s="20" t="s">
        <v>33</v>
      </c>
      <c r="B11" s="17"/>
      <c r="C11" s="133">
        <f>SUM(_xll.OneStop.ReportPlayer.OSRFunctions.OSRRef(C9))+SUM(_xll.OneStop.ReportPlayer.OSRFunctions.OSRRef(C10))</f>
        <v>0</v>
      </c>
      <c r="D11" s="17"/>
      <c r="E11" s="126">
        <f>SUM(_xll.OneStop.ReportPlayer.OSRFunctions.OSRRef(E10))</f>
        <v>0</v>
      </c>
      <c r="F11" s="83"/>
      <c r="G11" s="83"/>
      <c r="H11" s="131">
        <f>SUM(_xll.OneStop.ReportPlayer.OSRFunctions.OSRRef(H10))</f>
        <v>0</v>
      </c>
      <c r="I11" s="40">
        <f t="shared" si="0"/>
        <v>0</v>
      </c>
    </row>
    <row r="12" spans="1:11" x14ac:dyDescent="0.35">
      <c r="A12" s="3"/>
      <c r="E12" s="80"/>
      <c r="F12" s="14"/>
      <c r="G12" s="14"/>
      <c r="H12" s="70"/>
      <c r="I12" s="2"/>
    </row>
    <row r="13" spans="1:11" x14ac:dyDescent="0.35">
      <c r="A13" s="6" t="s">
        <v>153</v>
      </c>
      <c r="B13" s="1"/>
      <c r="C13" s="1"/>
      <c r="D13" s="1"/>
      <c r="E13" s="106"/>
      <c r="F13" s="38"/>
      <c r="G13" s="38"/>
      <c r="H13" s="108"/>
      <c r="I13" s="4"/>
    </row>
    <row r="14" spans="1:11" x14ac:dyDescent="0.35">
      <c r="A14" s="3" t="str">
        <f>_xll.OneStop.ReportPlayer.OSRFunctions.OSRGet("Journal_Account","AccountNo")</f>
        <v>[Journal_Account.AccountNo]</v>
      </c>
      <c r="B14" t="str">
        <f>_xll.OneStop.ReportPlayer.OSRFunctions.OSRGet("Journal_Account","AccountName")</f>
        <v>[Journal_Account.AccountName]</v>
      </c>
      <c r="C14" s="87" t="str">
        <f>_xll.OneStop.ReportPlayer.OSRFunctions.OSRGet("Journal_SubEntry","AmtCur")</f>
        <v>[Journal_SubEntry.AmtCur]</v>
      </c>
      <c r="D14" t="str">
        <f>_xll.OneStop.ReportPlayer.OSRFunctions.OSRGet("Journal_SubEntry","AmtCur")</f>
        <v>[Journal_SubEntry.AmtCur]</v>
      </c>
      <c r="E14" s="80" t="e">
        <f>C14+D14</f>
        <v>#VALUE!</v>
      </c>
      <c r="F14" s="14" t="str">
        <f>_xll.OneStop.ReportPlayer.OSRFunctions.OSRGet("Journal_SubEntry","AmtCur")</f>
        <v>[Journal_SubEntry.AmtCur]</v>
      </c>
      <c r="G14" s="14" t="str">
        <f>_xll.OneStop.ReportPlayer.OSRFunctions.OSRGet("Journal_SubEntry","AmtCur")</f>
        <v>[Journal_SubEntry.AmtCur]</v>
      </c>
      <c r="H14" s="70" t="e">
        <f>F14+G14</f>
        <v>#VALUE!</v>
      </c>
      <c r="I14" s="2" t="e">
        <f t="shared" ref="I14:I16" si="1">E14-H14</f>
        <v>#VALUE!</v>
      </c>
    </row>
    <row r="15" spans="1:11" ht="15" thickBot="1" x14ac:dyDescent="0.4">
      <c r="A15" s="3"/>
      <c r="B15" t="s">
        <v>129</v>
      </c>
      <c r="D15" t="str">
        <f>_xll.OneStop.ReportPlayer.OSRFunctions.OSRGet("Journal_SubEntry","AmtCur")</f>
        <v>[Journal_SubEntry.AmtCur]</v>
      </c>
      <c r="E15" s="80" t="str">
        <f>D15</f>
        <v>[Journal_SubEntry.AmtCur]</v>
      </c>
      <c r="F15" s="14"/>
      <c r="G15" s="14" t="str">
        <f>_xll.OneStop.ReportPlayer.OSRFunctions.OSRGet("Journal_SubEntry","AmtCur")</f>
        <v>[Journal_SubEntry.AmtCur]</v>
      </c>
      <c r="H15" s="70" t="str">
        <f>G15</f>
        <v>[Journal_SubEntry.AmtCur]</v>
      </c>
      <c r="I15" s="2" t="e">
        <f t="shared" si="1"/>
        <v>#VALUE!</v>
      </c>
    </row>
    <row r="16" spans="1:11" ht="15" thickBot="1" x14ac:dyDescent="0.4">
      <c r="A16" s="97" t="s">
        <v>34</v>
      </c>
      <c r="B16" s="84"/>
      <c r="C16" s="128">
        <f>SUM(_xll.OneStop.ReportPlayer.OSRFunctions.OSRRef(C14))+SUM(_xll.OneStop.ReportPlayer.OSRFunctions.OSRRef(C15))</f>
        <v>0</v>
      </c>
      <c r="D16" s="84"/>
      <c r="E16" s="127">
        <f>SUM(_xll.OneStop.ReportPlayer.OSRFunctions.OSRRef(E14))+SUM(_xll.OneStop.ReportPlayer.OSRFunctions.OSRRef(E15))</f>
        <v>0</v>
      </c>
      <c r="F16" s="86"/>
      <c r="G16" s="86"/>
      <c r="H16" s="139">
        <f>SUM(_xll.OneStop.ReportPlayer.OSRFunctions.OSRRef(H14))+SUM(_xll.OneStop.ReportPlayer.OSRFunctions.OSRRef(H15))</f>
        <v>0</v>
      </c>
      <c r="I16" s="118">
        <f t="shared" si="1"/>
        <v>0</v>
      </c>
    </row>
    <row r="17" ht="15" thickTop="1" x14ac:dyDescent="0.35"/>
    <row r="154" spans="1:2" x14ac:dyDescent="0.35">
      <c r="B154" t="e">
        <f>VLOOKUP(RIGHT(_xll.OneStop.ReportPlayer.OSRFunctions.OSRGet("Period","PeriodId"),2),MANED4,2,FALSE)&amp;" - "</f>
        <v>#N/A</v>
      </c>
    </row>
    <row r="155" spans="1:2" x14ac:dyDescent="0.35">
      <c r="B155" t="e">
        <f>VLOOKUP(RIGHT(_xll.OneStop.ReportPlayer.OSRFunctions.OSRGet("Period","PeriodId"),2),MANED4,2,FALSE)&amp;"  "&amp;LEFT(_xll.OneStop.ReportPlayer.OSRFunctions.OSRGet("Period","PeriodId"),4)</f>
        <v>#N/A</v>
      </c>
    </row>
    <row r="159" spans="1:2" x14ac:dyDescent="0.35">
      <c r="A159" s="35" t="s">
        <v>46</v>
      </c>
      <c r="B159" s="33" t="s">
        <v>130</v>
      </c>
    </row>
    <row r="160" spans="1:2" x14ac:dyDescent="0.35">
      <c r="A160" s="35" t="s">
        <v>96</v>
      </c>
      <c r="B160" s="33" t="s">
        <v>1</v>
      </c>
    </row>
    <row r="161" spans="1:2" x14ac:dyDescent="0.35">
      <c r="A161" s="35" t="s">
        <v>131</v>
      </c>
      <c r="B161" s="33" t="s">
        <v>47</v>
      </c>
    </row>
    <row r="162" spans="1:2" x14ac:dyDescent="0.35">
      <c r="A162" s="35" t="s">
        <v>2</v>
      </c>
      <c r="B162" s="33" t="s">
        <v>15</v>
      </c>
    </row>
    <row r="163" spans="1:2" x14ac:dyDescent="0.35">
      <c r="A163" s="35" t="s">
        <v>48</v>
      </c>
      <c r="B163" s="33" t="s">
        <v>117</v>
      </c>
    </row>
    <row r="164" spans="1:2" x14ac:dyDescent="0.35">
      <c r="A164" s="35" t="s">
        <v>97</v>
      </c>
      <c r="B164" s="33" t="s">
        <v>154</v>
      </c>
    </row>
    <row r="165" spans="1:2" x14ac:dyDescent="0.35">
      <c r="A165" s="35" t="s">
        <v>132</v>
      </c>
      <c r="B165" s="33" t="s">
        <v>70</v>
      </c>
    </row>
    <row r="166" spans="1:2" x14ac:dyDescent="0.35">
      <c r="A166" s="35" t="s">
        <v>3</v>
      </c>
      <c r="B166" s="33" t="s">
        <v>71</v>
      </c>
    </row>
    <row r="167" spans="1:2" x14ac:dyDescent="0.35">
      <c r="A167" s="35" t="s">
        <v>49</v>
      </c>
      <c r="B167" s="33" t="s">
        <v>64</v>
      </c>
    </row>
    <row r="168" spans="1:2" x14ac:dyDescent="0.35">
      <c r="A168" s="35" t="s">
        <v>133</v>
      </c>
      <c r="B168" s="33" t="s">
        <v>118</v>
      </c>
    </row>
    <row r="169" spans="1:2" x14ac:dyDescent="0.35">
      <c r="A169" s="35" t="s">
        <v>4</v>
      </c>
      <c r="B169" s="33" t="s">
        <v>5</v>
      </c>
    </row>
    <row r="170" spans="1:2" x14ac:dyDescent="0.35">
      <c r="A170" s="35" t="s">
        <v>50</v>
      </c>
      <c r="B170" s="33" t="s">
        <v>72</v>
      </c>
    </row>
  </sheetData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72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10.81640625" customWidth="1"/>
    <col min="2" max="2" width="33.7265625" customWidth="1"/>
    <col min="3" max="4" width="15.1796875" customWidth="1"/>
    <col min="5" max="5" width="15" style="12" customWidth="1"/>
    <col min="6" max="9" width="15.1796875" style="12" customWidth="1"/>
  </cols>
  <sheetData>
    <row r="1" spans="1:9" x14ac:dyDescent="0.35">
      <c r="A1" t="s">
        <v>107</v>
      </c>
    </row>
    <row r="3" spans="1:9" ht="26" x14ac:dyDescent="0.6">
      <c r="A3" s="36" t="str">
        <f>_xll.OneStop.ReportPlayer.OSRFunctions.OSRGet("ThisCompany","CompanyName")</f>
        <v>[ThisCompany.CompanyName]</v>
      </c>
      <c r="F3" s="39" t="s">
        <v>151</v>
      </c>
      <c r="I3" s="34" t="s">
        <v>81</v>
      </c>
    </row>
    <row r="4" spans="1:9" ht="15.5" x14ac:dyDescent="0.35">
      <c r="A4" t="s">
        <v>35</v>
      </c>
      <c r="F4" s="52" t="e">
        <f>CONCATENATE(B155," ",B156)</f>
        <v>#N/A</v>
      </c>
      <c r="I4" s="32">
        <f ca="1">NOW()</f>
        <v>45755.783617476853</v>
      </c>
    </row>
    <row r="5" spans="1:9" x14ac:dyDescent="0.35">
      <c r="A5" s="1" t="str">
        <f>_xll.OneStop.ReportPlayer.OSRFunctions.OSRGet("Journal_Department","DepId")</f>
        <v>[Journal_Department.DepId]</v>
      </c>
      <c r="B5" s="1" t="str">
        <f>_xll.OneStop.ReportPlayer.OSRFunctions.OSRGet("Journal_Department","Name")</f>
        <v>[Journal_Department.Name]</v>
      </c>
      <c r="C5" s="1"/>
      <c r="D5" s="1"/>
    </row>
    <row r="6" spans="1:9" ht="15" thickBot="1" x14ac:dyDescent="0.4"/>
    <row r="7" spans="1:9" s="1" customFormat="1" ht="15" thickTop="1" x14ac:dyDescent="0.35">
      <c r="A7" s="37"/>
      <c r="B7" s="30"/>
      <c r="C7" s="62" t="s">
        <v>108</v>
      </c>
      <c r="D7" s="55" t="s">
        <v>108</v>
      </c>
      <c r="E7" s="42" t="s">
        <v>12</v>
      </c>
      <c r="F7" s="53" t="s">
        <v>12</v>
      </c>
      <c r="G7" s="25"/>
      <c r="H7" s="65" t="s">
        <v>13</v>
      </c>
      <c r="I7" s="25"/>
    </row>
    <row r="8" spans="1:9" s="1" customFormat="1" ht="15" thickBot="1" x14ac:dyDescent="0.4">
      <c r="A8" s="21"/>
      <c r="B8" s="15"/>
      <c r="C8" s="54" t="s">
        <v>13</v>
      </c>
      <c r="D8" s="61" t="s">
        <v>127</v>
      </c>
      <c r="E8" s="47" t="s">
        <v>13</v>
      </c>
      <c r="F8" s="57" t="s">
        <v>127</v>
      </c>
      <c r="G8" s="23" t="s">
        <v>82</v>
      </c>
      <c r="H8" s="58" t="s">
        <v>95</v>
      </c>
      <c r="I8" s="23" t="s">
        <v>82</v>
      </c>
    </row>
    <row r="9" spans="1:9" s="1" customFormat="1" x14ac:dyDescent="0.35">
      <c r="A9" s="6" t="s">
        <v>0</v>
      </c>
      <c r="C9" s="66"/>
      <c r="D9" s="60"/>
      <c r="E9" s="49"/>
      <c r="F9" s="50"/>
      <c r="G9" s="18"/>
      <c r="H9" s="67"/>
      <c r="I9" s="18"/>
    </row>
    <row r="10" spans="1:9" ht="15" thickBot="1" x14ac:dyDescent="0.4">
      <c r="A10" s="3" t="str">
        <f>_xll.OneStop.ReportPlayer.OSRFunctions.OSRGet("Journal_Account","AccountNo")</f>
        <v>[Journal_Account.AccountNo]</v>
      </c>
      <c r="B10" t="str">
        <f>_xll.OneStop.ReportPlayer.OSRFunctions.OSRGet("Journal_Account","AccountName")</f>
        <v>[Journal_Account.AccountName]</v>
      </c>
      <c r="C10" s="8" t="e">
        <f>-_xll.OneStop.ReportPlayer.OSRFunctions.OSRGet("Journal_SubEntry","AmtCur")</f>
        <v>#VALUE!</v>
      </c>
      <c r="D10" s="7" t="e">
        <f>-_xll.OneStop.ReportPlayer.OSRFunctions.OSRGet("Journal_SubEntry","AmtCur")</f>
        <v>#VALUE!</v>
      </c>
      <c r="E10" s="5" t="e">
        <f>-_xll.OneStop.ReportPlayer.OSRFunctions.OSRGet("Journal_SubEntry","AmtCur")</f>
        <v>#VALUE!</v>
      </c>
      <c r="F10" s="9" t="e">
        <f>-_xll.OneStop.ReportPlayer.OSRFunctions.OSRGet("Journal_SubEntry","AmtCur")</f>
        <v>#VALUE!</v>
      </c>
      <c r="G10" s="2" t="e">
        <f t="shared" ref="G10:G11" si="0">E10-F10</f>
        <v>#VALUE!</v>
      </c>
      <c r="H10" s="10" t="str">
        <f>_xll.OneStop.ReportPlayer.OSRFunctions.OSRGet("FactBudgetTrans","Budget Amount")</f>
        <v>[FactBudgetTrans.Budget Amount]</v>
      </c>
      <c r="I10" s="2" t="e">
        <f t="shared" ref="I10:I11" si="1">E10-H10</f>
        <v>#VALUE!</v>
      </c>
    </row>
    <row r="11" spans="1:9" s="1" customFormat="1" ht="15" thickBot="1" x14ac:dyDescent="0.4">
      <c r="A11" s="20" t="s">
        <v>83</v>
      </c>
      <c r="B11" s="17"/>
      <c r="C11" s="111">
        <f>SUM(_xll.OneStop.ReportPlayer.OSRFunctions.OSRRef(C10))</f>
        <v>0</v>
      </c>
      <c r="D11" s="112">
        <f>SUM(_xll.OneStop.ReportPlayer.OSRFunctions.OSRRef(D10))</f>
        <v>0</v>
      </c>
      <c r="E11" s="81">
        <f>SUM(_xll.OneStop.ReportPlayer.OSRFunctions.OSRRef(E10))</f>
        <v>0</v>
      </c>
      <c r="F11" s="90">
        <f>SUM(_xll.OneStop.ReportPlayer.OSRFunctions.OSRRef(F10))</f>
        <v>0</v>
      </c>
      <c r="G11" s="40">
        <f t="shared" si="0"/>
        <v>0</v>
      </c>
      <c r="H11" s="102">
        <f>SUM(_xll.OneStop.ReportPlayer.OSRFunctions.OSRRef(H10))</f>
        <v>0</v>
      </c>
      <c r="I11" s="40">
        <f t="shared" si="1"/>
        <v>0</v>
      </c>
    </row>
    <row r="12" spans="1:9" x14ac:dyDescent="0.35">
      <c r="A12" s="3"/>
      <c r="C12" s="8"/>
      <c r="D12" s="7"/>
      <c r="E12" s="5"/>
      <c r="F12" s="9"/>
      <c r="G12" s="2"/>
      <c r="H12" s="10"/>
      <c r="I12" s="2"/>
    </row>
    <row r="13" spans="1:9" s="1" customFormat="1" x14ac:dyDescent="0.35">
      <c r="A13" s="6" t="s">
        <v>152</v>
      </c>
      <c r="C13" s="19"/>
      <c r="D13" s="22"/>
      <c r="E13" s="13"/>
      <c r="F13" s="24"/>
      <c r="G13" s="4"/>
      <c r="H13" s="26"/>
      <c r="I13" s="4"/>
    </row>
    <row r="14" spans="1:9" ht="15" thickBot="1" x14ac:dyDescent="0.4">
      <c r="A14" s="3" t="str">
        <f>_xll.OneStop.ReportPlayer.OSRFunctions.OSRGet("Journal_Account","AccountNo")</f>
        <v>[Journal_Account.AccountNo]</v>
      </c>
      <c r="B14" t="str">
        <f>_xll.OneStop.ReportPlayer.OSRFunctions.OSRGet("Journal_Account","AccountName")</f>
        <v>[Journal_Account.AccountName]</v>
      </c>
      <c r="C14" s="8" t="str">
        <f>_xll.OneStop.ReportPlayer.OSRFunctions.OSRGet("Journal_SubEntry","AmtCur")</f>
        <v>[Journal_SubEntry.AmtCur]</v>
      </c>
      <c r="D14" s="7" t="str">
        <f>_xll.OneStop.ReportPlayer.OSRFunctions.OSRGet("Journal_SubEntry","AmtCur")</f>
        <v>[Journal_SubEntry.AmtCur]</v>
      </c>
      <c r="E14" s="5" t="str">
        <f>_xll.OneStop.ReportPlayer.OSRFunctions.OSRGet("Journal_SubEntry","AmtCur")</f>
        <v>[Journal_SubEntry.AmtCur]</v>
      </c>
      <c r="F14" s="9" t="str">
        <f>_xll.OneStop.ReportPlayer.OSRFunctions.OSRGet("Journal_SubEntry","AmtCur")</f>
        <v>[Journal_SubEntry.AmtCur]</v>
      </c>
      <c r="G14" s="2" t="e">
        <f t="shared" ref="G14:G15" si="2">E14-F14</f>
        <v>#VALUE!</v>
      </c>
      <c r="H14" s="10" t="str">
        <f>_xll.OneStop.ReportPlayer.OSRFunctions.OSRGet("FactBudgetTrans","Budget Amount")</f>
        <v>[FactBudgetTrans.Budget Amount]</v>
      </c>
      <c r="I14" s="2" t="e">
        <f t="shared" ref="I14:I15" si="3">E14-H14</f>
        <v>#VALUE!</v>
      </c>
    </row>
    <row r="15" spans="1:9" s="1" customFormat="1" ht="15" thickBot="1" x14ac:dyDescent="0.4">
      <c r="A15" s="20" t="s">
        <v>84</v>
      </c>
      <c r="B15" s="17"/>
      <c r="C15" s="111">
        <f>SUM(_xll.OneStop.ReportPlayer.OSRFunctions.OSRRef(C14))</f>
        <v>0</v>
      </c>
      <c r="D15" s="112">
        <f>SUM(_xll.OneStop.ReportPlayer.OSRFunctions.OSRRef(D14))</f>
        <v>0</v>
      </c>
      <c r="E15" s="81">
        <f>SUM(_xll.OneStop.ReportPlayer.OSRFunctions.OSRRef(E14))</f>
        <v>0</v>
      </c>
      <c r="F15" s="90">
        <f>SUM(_xll.OneStop.ReportPlayer.OSRFunctions.OSRRef(F14))</f>
        <v>0</v>
      </c>
      <c r="G15" s="40">
        <f t="shared" si="2"/>
        <v>0</v>
      </c>
      <c r="H15" s="102">
        <f>SUM(_xll.OneStop.ReportPlayer.OSRFunctions.OSRRef(H14))</f>
        <v>0</v>
      </c>
      <c r="I15" s="40">
        <f t="shared" si="3"/>
        <v>0</v>
      </c>
    </row>
    <row r="16" spans="1:9" x14ac:dyDescent="0.35">
      <c r="A16" s="3"/>
      <c r="C16" s="8"/>
      <c r="D16" s="7"/>
      <c r="E16" s="5"/>
      <c r="F16" s="9"/>
      <c r="G16" s="2"/>
      <c r="H16" s="10"/>
      <c r="I16" s="2"/>
    </row>
    <row r="17" spans="1:9" s="1" customFormat="1" x14ac:dyDescent="0.35">
      <c r="A17" s="6" t="s">
        <v>14</v>
      </c>
      <c r="C17" s="19"/>
      <c r="D17" s="22"/>
      <c r="E17" s="13"/>
      <c r="F17" s="24"/>
      <c r="G17" s="4"/>
      <c r="H17" s="26"/>
      <c r="I17" s="4"/>
    </row>
    <row r="18" spans="1:9" s="1" customFormat="1" x14ac:dyDescent="0.35">
      <c r="A18" s="3" t="str">
        <f>_xll.OneStop.ReportPlayer.OSRFunctions.OSRGet("Journal_Account","AccountNo")</f>
        <v>[Journal_Account.AccountNo]</v>
      </c>
      <c r="B18" t="str">
        <f>_xll.OneStop.ReportPlayer.OSRFunctions.OSRGet("Journal_Account","AccountName")</f>
        <v>[Journal_Account.AccountName]</v>
      </c>
      <c r="C18" s="8" t="str">
        <f>_xll.OneStop.ReportPlayer.OSRFunctions.OSRGet("Journal_SubEntry","AmtCur")</f>
        <v>[Journal_SubEntry.AmtCur]</v>
      </c>
      <c r="D18" s="7" t="str">
        <f>_xll.OneStop.ReportPlayer.OSRFunctions.OSRGet("Journal_SubEntry","AmtCur")</f>
        <v>[Journal_SubEntry.AmtCur]</v>
      </c>
      <c r="E18" s="5" t="str">
        <f>_xll.OneStop.ReportPlayer.OSRFunctions.OSRGet("Journal_SubEntry","AmtCur")</f>
        <v>[Journal_SubEntry.AmtCur]</v>
      </c>
      <c r="F18" s="9" t="str">
        <f>_xll.OneStop.ReportPlayer.OSRFunctions.OSRGet("Journal_SubEntry","AmtCur")</f>
        <v>[Journal_SubEntry.AmtCur]</v>
      </c>
      <c r="G18" s="2" t="e">
        <f t="shared" ref="G18:G20" si="4">E18-F18</f>
        <v>#VALUE!</v>
      </c>
      <c r="H18" s="10" t="e">
        <f>-_xll.OneStop.ReportPlayer.OSRFunctions.OSRGet("FactBudgetTrans","Budget Amount")</f>
        <v>#VALUE!</v>
      </c>
      <c r="I18" s="2" t="e">
        <f t="shared" ref="I18:I20" si="5">E18-H18</f>
        <v>#VALUE!</v>
      </c>
    </row>
    <row r="19" spans="1:9" ht="15" thickBot="1" x14ac:dyDescent="0.4">
      <c r="A19" s="3" t="str">
        <f>_xll.OneStop.ReportPlayer.OSRFunctions.OSRGet("Journal_Account","AccountNo")</f>
        <v>[Journal_Account.AccountNo]</v>
      </c>
      <c r="B19" t="str">
        <f>_xll.OneStop.ReportPlayer.OSRFunctions.OSRGet("Journal_Account","AccountName")</f>
        <v>[Journal_Account.AccountName]</v>
      </c>
      <c r="C19" s="8" t="str">
        <f>_xll.OneStop.ReportPlayer.OSRFunctions.OSRGet("Journal_SubEntry","AmtCur")</f>
        <v>[Journal_SubEntry.AmtCur]</v>
      </c>
      <c r="D19" s="7" t="str">
        <f>_xll.OneStop.ReportPlayer.OSRFunctions.OSRGet("Journal_SubEntry","AmtCur")</f>
        <v>[Journal_SubEntry.AmtCur]</v>
      </c>
      <c r="E19" s="5" t="str">
        <f>_xll.OneStop.ReportPlayer.OSRFunctions.OSRGet("Journal_SubEntry","AmtCur")</f>
        <v>[Journal_SubEntry.AmtCur]</v>
      </c>
      <c r="F19" s="9" t="str">
        <f>_xll.OneStop.ReportPlayer.OSRFunctions.OSRGet("Journal_SubEntry","AmtCur")</f>
        <v>[Journal_SubEntry.AmtCur]</v>
      </c>
      <c r="G19" s="2" t="e">
        <f t="shared" si="4"/>
        <v>#VALUE!</v>
      </c>
      <c r="H19" s="10" t="str">
        <f>_xll.OneStop.ReportPlayer.OSRFunctions.OSRGet("FactBudgetTrans","Budget Amount")</f>
        <v>[FactBudgetTrans.Budget Amount]</v>
      </c>
      <c r="I19" s="2" t="e">
        <f t="shared" si="5"/>
        <v>#VALUE!</v>
      </c>
    </row>
    <row r="20" spans="1:9" s="1" customFormat="1" x14ac:dyDescent="0.35">
      <c r="A20" s="48" t="s">
        <v>25</v>
      </c>
      <c r="B20" s="45"/>
      <c r="C20" s="114">
        <f>SUM(_xll.OneStop.ReportPlayer.OSRFunctions.OSRRef(C18))+SUM(_xll.OneStop.ReportPlayer.OSRFunctions.OSRRef(C19))</f>
        <v>0</v>
      </c>
      <c r="D20" s="109">
        <f>SUM(_xll.OneStop.ReportPlayer.OSRFunctions.OSRRef(D18))+SUM(_xll.OneStop.ReportPlayer.OSRFunctions.OSRRef(D19))</f>
        <v>0</v>
      </c>
      <c r="E20" s="85">
        <f>SUM(_xll.OneStop.ReportPlayer.OSRFunctions.OSRRef(E18))+SUM(_xll.OneStop.ReportPlayer.OSRFunctions.OSRRef(E19))</f>
        <v>0</v>
      </c>
      <c r="F20" s="94">
        <f>SUM(_xll.OneStop.ReportPlayer.OSRFunctions.OSRRef(F18))+SUM(_xll.OneStop.ReportPlayer.OSRFunctions.OSRRef(F19))</f>
        <v>0</v>
      </c>
      <c r="G20" s="68">
        <f t="shared" si="4"/>
        <v>0</v>
      </c>
      <c r="H20" s="88">
        <f>SUM(_xll.OneStop.ReportPlayer.OSRFunctions.OSRRef(H18))+SUM(_xll.OneStop.ReportPlayer.OSRFunctions.OSRRef(H19))</f>
        <v>0</v>
      </c>
      <c r="I20" s="68">
        <f t="shared" si="5"/>
        <v>0</v>
      </c>
    </row>
    <row r="21" spans="1:9" x14ac:dyDescent="0.35">
      <c r="A21" s="3"/>
      <c r="C21" s="8"/>
      <c r="D21" s="7"/>
      <c r="E21" s="5"/>
      <c r="F21" s="9"/>
      <c r="G21" s="2"/>
      <c r="H21" s="10"/>
      <c r="I21" s="2"/>
    </row>
    <row r="22" spans="1:9" s="1" customFormat="1" ht="15" thickBot="1" x14ac:dyDescent="0.4">
      <c r="A22" s="21" t="s">
        <v>62</v>
      </c>
      <c r="B22" s="15"/>
      <c r="C22" s="140">
        <f t="shared" ref="C22:F22" si="6">C11-C15-C20</f>
        <v>0</v>
      </c>
      <c r="D22" s="130">
        <f t="shared" si="6"/>
        <v>0</v>
      </c>
      <c r="E22" s="101">
        <f t="shared" si="6"/>
        <v>0</v>
      </c>
      <c r="F22" s="135">
        <f t="shared" si="6"/>
        <v>0</v>
      </c>
      <c r="G22" s="77">
        <f>E22-F22</f>
        <v>0</v>
      </c>
      <c r="H22" s="125">
        <f>H11-H15-H20</f>
        <v>0</v>
      </c>
      <c r="I22" s="77">
        <f>E22-H22</f>
        <v>0</v>
      </c>
    </row>
    <row r="23" spans="1:9" x14ac:dyDescent="0.35">
      <c r="A23" s="3"/>
      <c r="C23" s="8"/>
      <c r="D23" s="7"/>
      <c r="E23" s="5"/>
      <c r="F23" s="9"/>
      <c r="G23" s="2"/>
      <c r="H23" s="10"/>
      <c r="I23" s="2"/>
    </row>
    <row r="24" spans="1:9" s="1" customFormat="1" x14ac:dyDescent="0.35">
      <c r="A24" s="6" t="s">
        <v>32</v>
      </c>
      <c r="C24" s="19"/>
      <c r="D24" s="22"/>
      <c r="E24" s="13"/>
      <c r="F24" s="24"/>
      <c r="G24" s="4"/>
      <c r="H24" s="26"/>
      <c r="I24" s="4"/>
    </row>
    <row r="25" spans="1:9" ht="15" thickBot="1" x14ac:dyDescent="0.4">
      <c r="A25" s="3" t="str">
        <f>_xll.OneStop.ReportPlayer.OSRFunctions.OSRGet("Journal_Account","AccountNo")</f>
        <v>[Journal_Account.AccountNo]</v>
      </c>
      <c r="B25" t="str">
        <f>_xll.OneStop.ReportPlayer.OSRFunctions.OSRGet("Journal_Account","AccountName")</f>
        <v>[Journal_Account.AccountName]</v>
      </c>
      <c r="C25" s="8" t="str">
        <f>_xll.OneStop.ReportPlayer.OSRFunctions.OSRGet("Journal_SubEntry","AmtCur")</f>
        <v>[Journal_SubEntry.AmtCur]</v>
      </c>
      <c r="D25" s="7" t="str">
        <f>_xll.OneStop.ReportPlayer.OSRFunctions.OSRGet("Journal_SubEntry","AmtCur")</f>
        <v>[Journal_SubEntry.AmtCur]</v>
      </c>
      <c r="E25" s="5" t="str">
        <f>_xll.OneStop.ReportPlayer.OSRFunctions.OSRGet("Journal_SubEntry","AmtCur")</f>
        <v>[Journal_SubEntry.AmtCur]</v>
      </c>
      <c r="F25" s="9" t="str">
        <f>_xll.OneStop.ReportPlayer.OSRFunctions.OSRGet("Journal_SubEntry","AmtCur")</f>
        <v>[Journal_SubEntry.AmtCur]</v>
      </c>
      <c r="G25" s="2" t="e">
        <f t="shared" ref="G25:G26" si="7">E25-F25</f>
        <v>#VALUE!</v>
      </c>
      <c r="H25" s="10" t="str">
        <f>_xll.OneStop.ReportPlayer.OSRFunctions.OSRGet("FactBudgetTrans","Budget Amount")</f>
        <v>[FactBudgetTrans.Budget Amount]</v>
      </c>
      <c r="I25" s="2" t="e">
        <f t="shared" ref="I25:I26" si="8">E25-H25</f>
        <v>#VALUE!</v>
      </c>
    </row>
    <row r="26" spans="1:9" x14ac:dyDescent="0.35">
      <c r="A26" s="46" t="s">
        <v>63</v>
      </c>
      <c r="B26" s="44"/>
      <c r="C26" s="114">
        <f>SUM(_xll.OneStop.ReportPlayer.OSRFunctions.OSRRef(C25))</f>
        <v>0</v>
      </c>
      <c r="D26" s="109">
        <f>SUM(_xll.OneStop.ReportPlayer.OSRFunctions.OSRRef(D25))</f>
        <v>0</v>
      </c>
      <c r="E26" s="85">
        <f>SUM(_xll.OneStop.ReportPlayer.OSRFunctions.OSRRef(E25))</f>
        <v>0</v>
      </c>
      <c r="F26" s="94">
        <f>SUM(_xll.OneStop.ReportPlayer.OSRFunctions.OSRRef(F25))</f>
        <v>0</v>
      </c>
      <c r="G26" s="68">
        <f t="shared" si="7"/>
        <v>0</v>
      </c>
      <c r="H26" s="88">
        <f>SUM(_xll.OneStop.ReportPlayer.OSRFunctions.OSRRef(H25))</f>
        <v>0</v>
      </c>
      <c r="I26" s="68">
        <f t="shared" si="8"/>
        <v>0</v>
      </c>
    </row>
    <row r="27" spans="1:9" x14ac:dyDescent="0.35">
      <c r="A27" s="3"/>
      <c r="C27" s="8"/>
      <c r="D27" s="7"/>
      <c r="E27" s="5"/>
      <c r="F27" s="9"/>
      <c r="G27" s="2"/>
      <c r="H27" s="10"/>
      <c r="I27" s="2"/>
    </row>
    <row r="28" spans="1:9" s="1" customFormat="1" ht="15" thickBot="1" x14ac:dyDescent="0.4">
      <c r="A28" s="43" t="s">
        <v>100</v>
      </c>
      <c r="B28" s="41"/>
      <c r="C28" s="117">
        <f t="shared" ref="C28:F28" si="9">C22-C26</f>
        <v>0</v>
      </c>
      <c r="D28" s="136">
        <f t="shared" si="9"/>
        <v>0</v>
      </c>
      <c r="E28" s="110">
        <f t="shared" si="9"/>
        <v>0</v>
      </c>
      <c r="F28" s="137">
        <f t="shared" si="9"/>
        <v>0</v>
      </c>
      <c r="G28" s="82">
        <f>E28-F28</f>
        <v>0</v>
      </c>
      <c r="H28" s="121">
        <f>H22-H26</f>
        <v>0</v>
      </c>
      <c r="I28" s="82">
        <f>E28-H28</f>
        <v>0</v>
      </c>
    </row>
    <row r="29" spans="1:9" ht="15" thickTop="1" x14ac:dyDescent="0.35"/>
    <row r="154" spans="1:2" hidden="1" x14ac:dyDescent="0.35"/>
    <row r="155" spans="1:2" hidden="1" x14ac:dyDescent="0.35">
      <c r="B155" t="e">
        <f>VLOOKUP(RIGHT(_xll.OneStop.ReportPlayer.OSRFunctions.OSRGet("Period","PeriodId"),2),MANED3,2,FALSE)&amp;" - "</f>
        <v>#N/A</v>
      </c>
    </row>
    <row r="156" spans="1:2" hidden="1" x14ac:dyDescent="0.35">
      <c r="B156" t="e">
        <f>VLOOKUP(RIGHT(_xll.OneStop.ReportPlayer.OSRFunctions.OSRGet("Period","PeriodId"),2),MANED3,2,FALSE)&amp;"  "&amp;LEFT(_xll.OneStop.ReportPlayer.OSRFunctions.OSRGet("Period","PeriodId"),4)</f>
        <v>#N/A</v>
      </c>
    </row>
    <row r="157" spans="1:2" hidden="1" x14ac:dyDescent="0.35"/>
    <row r="158" spans="1:2" hidden="1" x14ac:dyDescent="0.35"/>
    <row r="159" spans="1:2" hidden="1" x14ac:dyDescent="0.35"/>
    <row r="160" spans="1:2" hidden="1" x14ac:dyDescent="0.35">
      <c r="A160" s="35" t="s">
        <v>46</v>
      </c>
      <c r="B160" s="33" t="s">
        <v>130</v>
      </c>
    </row>
    <row r="161" spans="1:2" hidden="1" x14ac:dyDescent="0.35">
      <c r="A161" s="35" t="s">
        <v>96</v>
      </c>
      <c r="B161" s="33" t="s">
        <v>1</v>
      </c>
    </row>
    <row r="162" spans="1:2" hidden="1" x14ac:dyDescent="0.35">
      <c r="A162" s="35" t="s">
        <v>131</v>
      </c>
      <c r="B162" s="33" t="s">
        <v>47</v>
      </c>
    </row>
    <row r="163" spans="1:2" hidden="1" x14ac:dyDescent="0.35">
      <c r="A163" s="35" t="s">
        <v>2</v>
      </c>
      <c r="B163" s="33" t="s">
        <v>15</v>
      </c>
    </row>
    <row r="164" spans="1:2" hidden="1" x14ac:dyDescent="0.35">
      <c r="A164" s="35" t="s">
        <v>48</v>
      </c>
      <c r="B164" s="33" t="s">
        <v>117</v>
      </c>
    </row>
    <row r="165" spans="1:2" hidden="1" x14ac:dyDescent="0.35">
      <c r="A165" s="35" t="s">
        <v>97</v>
      </c>
      <c r="B165" s="33" t="s">
        <v>154</v>
      </c>
    </row>
    <row r="166" spans="1:2" hidden="1" x14ac:dyDescent="0.35">
      <c r="A166" s="35" t="s">
        <v>132</v>
      </c>
      <c r="B166" s="33" t="s">
        <v>70</v>
      </c>
    </row>
    <row r="167" spans="1:2" hidden="1" x14ac:dyDescent="0.35">
      <c r="A167" s="35" t="s">
        <v>3</v>
      </c>
      <c r="B167" s="33" t="s">
        <v>71</v>
      </c>
    </row>
    <row r="168" spans="1:2" hidden="1" x14ac:dyDescent="0.35">
      <c r="A168" s="35" t="s">
        <v>49</v>
      </c>
      <c r="B168" s="33" t="s">
        <v>64</v>
      </c>
    </row>
    <row r="169" spans="1:2" hidden="1" x14ac:dyDescent="0.35">
      <c r="A169" s="35" t="s">
        <v>133</v>
      </c>
      <c r="B169" s="33" t="s">
        <v>118</v>
      </c>
    </row>
    <row r="170" spans="1:2" hidden="1" x14ac:dyDescent="0.35">
      <c r="A170" s="35" t="s">
        <v>4</v>
      </c>
      <c r="B170" s="33" t="s">
        <v>5</v>
      </c>
    </row>
    <row r="171" spans="1:2" hidden="1" x14ac:dyDescent="0.35">
      <c r="A171" s="35" t="s">
        <v>50</v>
      </c>
      <c r="B171" s="33" t="s">
        <v>72</v>
      </c>
    </row>
    <row r="172" spans="1:2" hidden="1" x14ac:dyDescent="0.35"/>
  </sheetData>
  <pageMargins left="0.70866141732283472" right="0.70866141732283472" top="0.74803149606299213" bottom="0.74803149606299213" header="0.31496062992125984" footer="0.31496062992125984"/>
  <pageSetup paperSize="9" scale="99" fitToHeight="0" orientation="landscape" verticalDpi="300"/>
  <drawing r:id="rId1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7</vt:i4>
      </vt:variant>
    </vt:vector>
  </HeadingPairs>
  <TitlesOfParts>
    <vt:vector size="11" baseType="lpstr">
      <vt:lpstr>Budsjett 2025</vt:lpstr>
      <vt:lpstr>OSR_Resultat_...3a21ba33_HEX3NS</vt:lpstr>
      <vt:lpstr>OSR_Balanse_d...b8468579_F2RXWS</vt:lpstr>
      <vt:lpstr>OSR_Avdeling_...2e9dfb58_HRAJLI</vt:lpstr>
      <vt:lpstr>'Budsjett 2025'!MANED2</vt:lpstr>
      <vt:lpstr>OSR_Resultat_...3a21ba33_HEX3NS!MANED2</vt:lpstr>
      <vt:lpstr>OSR_Avdeling_...2e9dfb58_HRAJLI!MANED3</vt:lpstr>
      <vt:lpstr>OSR_Balanse_d...b8468579_F2RXWS!MANED4</vt:lpstr>
      <vt:lpstr>'Budsjett 2025'!Utskriftstitler</vt:lpstr>
      <vt:lpstr>OSR_Avdeling_...2e9dfb58_HRAJLI!Utskriftstitler</vt:lpstr>
      <vt:lpstr>OSR_Resultat_...3a21ba33_HEX3NS!Utskriftstitler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Ingvaldsen</dc:creator>
  <cp:lastModifiedBy>Lunde, Øistein</cp:lastModifiedBy>
  <dcterms:created xsi:type="dcterms:W3CDTF">2017-06-01T12:49:33Z</dcterms:created>
  <dcterms:modified xsi:type="dcterms:W3CDTF">2025-04-08T16:48:41Z</dcterms:modified>
</cp:coreProperties>
</file>