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tino-my.sharepoint.com/personal/brita_frisikt_no/Documents/Skrivebord/Gjøvik skiklubb/"/>
    </mc:Choice>
  </mc:AlternateContent>
  <xr:revisionPtr revIDLastSave="38" documentId="8_{F81018D2-8768-4F75-8006-190652B65D7D}" xr6:coauthVersionLast="47" xr6:coauthVersionMax="47" xr10:uidLastSave="{5E1ACEF3-1AAC-43C9-951B-45D7573C1828}"/>
  <bookViews>
    <workbookView xWindow="-120" yWindow="-120" windowWidth="29040" windowHeight="15720" activeTab="7" xr2:uid="{00000000-000D-0000-FFFF-FFFF00000000}"/>
  </bookViews>
  <sheets>
    <sheet name="Resultat" sheetId="1" r:id="rId1"/>
    <sheet name="OSR_Resultat_...3a21ba33_HEX3NS" sheetId="2" state="hidden" r:id="rId2"/>
    <sheet name="Balanse" sheetId="3" r:id="rId3"/>
    <sheet name="OSR_Balanse_d...b8468579_F2RXWS" sheetId="4" state="hidden" r:id="rId4"/>
    <sheet name="Alpint" sheetId="5" r:id="rId5"/>
    <sheet name="Hovedlaget" sheetId="6" r:id="rId6"/>
    <sheet name="Langrenn" sheetId="7" r:id="rId7"/>
    <sheet name="Skiskyting" sheetId="8" r:id="rId8"/>
    <sheet name="OSR_Avdeling_...2e9dfb58_HRAJLI" sheetId="10" state="hidden" r:id="rId9"/>
  </sheets>
  <definedNames>
    <definedName name="MANED2" localSheetId="4">#REF!</definedName>
    <definedName name="MANED2" localSheetId="2">#REF!</definedName>
    <definedName name="MANED2" localSheetId="5">#REF!</definedName>
    <definedName name="MANED2" localSheetId="6">#REF!</definedName>
    <definedName name="MANED2" localSheetId="8">#REF!</definedName>
    <definedName name="MANED2" localSheetId="3">#REF!</definedName>
    <definedName name="MANED2" localSheetId="1">'OSR_Resultat_...3a21ba33_HEX3NS'!$A$160:$B$171</definedName>
    <definedName name="MANED2" localSheetId="0">Resultat!$A$259:$B$270</definedName>
    <definedName name="MANED2" localSheetId="7">#REF!</definedName>
    <definedName name="MANED2">#REF!</definedName>
    <definedName name="MANED3" localSheetId="4">Alpint!$A$222:$B$233</definedName>
    <definedName name="MANED3" localSheetId="2">#REF!</definedName>
    <definedName name="MANED3" localSheetId="5">Hovedlaget!$A$190:$B$201</definedName>
    <definedName name="MANED3" localSheetId="6">Langrenn!$A$206:$B$217</definedName>
    <definedName name="MANED3" localSheetId="8">'OSR_Avdeling_...2e9dfb58_HRAJLI'!$A$160:$B$171</definedName>
    <definedName name="MANED3" localSheetId="3">#REF!</definedName>
    <definedName name="MANED3" localSheetId="1">#REF!</definedName>
    <definedName name="MANED3" localSheetId="0">#REF!</definedName>
    <definedName name="MANED3" localSheetId="7">Skiskyting!$A$156:$B$167</definedName>
    <definedName name="MANED3">#REF!</definedName>
    <definedName name="MANED4" localSheetId="4">#REF!</definedName>
    <definedName name="MANED4" localSheetId="2">Balanse!$A$232:$B$243</definedName>
    <definedName name="MANED4" localSheetId="5">#REF!</definedName>
    <definedName name="MANED4" localSheetId="6">#REF!</definedName>
    <definedName name="MANED4" localSheetId="8">#REF!</definedName>
    <definedName name="MANED4" localSheetId="3">'OSR_Balanse_d...b8468579_F2RXWS'!$A$159:$B$170</definedName>
    <definedName name="MANED4" localSheetId="1">#REF!</definedName>
    <definedName name="MANED4" localSheetId="0">#REF!</definedName>
    <definedName name="MANED4" localSheetId="7">#REF!</definedName>
    <definedName name="MANED4">#REF!</definedName>
    <definedName name="MANED5" localSheetId="4">#REF!</definedName>
    <definedName name="MANED5" localSheetId="2">#REF!</definedName>
    <definedName name="MANED5" localSheetId="5">#REF!</definedName>
    <definedName name="MANED5" localSheetId="6">#REF!</definedName>
    <definedName name="MANED5" localSheetId="8">#REF!</definedName>
    <definedName name="MANED5" localSheetId="3">#REF!</definedName>
    <definedName name="MANED5" localSheetId="1">#REF!</definedName>
    <definedName name="MANED5" localSheetId="0">#REF!</definedName>
    <definedName name="MANED5" localSheetId="7">#REF!</definedName>
    <definedName name="MANED5">#REF!</definedName>
    <definedName name="_xlnm.Print_Titles" localSheetId="4">Alpint!$7:$8</definedName>
    <definedName name="_xlnm.Print_Titles" localSheetId="5">Hovedlaget!$7:$8</definedName>
    <definedName name="_xlnm.Print_Titles" localSheetId="6">Langrenn!$7:$8</definedName>
    <definedName name="_xlnm.Print_Titles" localSheetId="8">'OSR_Avdeling_...2e9dfb58_HRAJLI'!$7:$8</definedName>
    <definedName name="_xlnm.Print_Titles" localSheetId="1">'OSR_Resultat_...3a21ba33_HEX3NS'!$7:$8</definedName>
    <definedName name="_xlnm.Print_Titles" localSheetId="0">Resultat!$7:$8</definedName>
    <definedName name="_xlnm.Print_Titles" localSheetId="7">Skiskyting!$7:$8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6" i="10" l="1"/>
  <c r="B155" i="10"/>
  <c r="H26" i="10"/>
  <c r="F26" i="10"/>
  <c r="E26" i="10"/>
  <c r="D26" i="10"/>
  <c r="C26" i="10"/>
  <c r="H25" i="10"/>
  <c r="F25" i="10"/>
  <c r="E25" i="10"/>
  <c r="D25" i="10"/>
  <c r="C25" i="10"/>
  <c r="B25" i="10"/>
  <c r="A25" i="10"/>
  <c r="H20" i="10"/>
  <c r="F20" i="10"/>
  <c r="E20" i="10"/>
  <c r="D20" i="10"/>
  <c r="C20" i="10"/>
  <c r="H19" i="10"/>
  <c r="F19" i="10"/>
  <c r="E19" i="10"/>
  <c r="D19" i="10"/>
  <c r="C19" i="10"/>
  <c r="B19" i="10"/>
  <c r="A19" i="10"/>
  <c r="H18" i="10"/>
  <c r="F18" i="10"/>
  <c r="E18" i="10"/>
  <c r="D18" i="10"/>
  <c r="C18" i="10"/>
  <c r="B18" i="10"/>
  <c r="A18" i="10"/>
  <c r="H15" i="10"/>
  <c r="F15" i="10"/>
  <c r="E15" i="10"/>
  <c r="D15" i="10"/>
  <c r="C15" i="10"/>
  <c r="H14" i="10"/>
  <c r="F14" i="10"/>
  <c r="E14" i="10"/>
  <c r="D14" i="10"/>
  <c r="C14" i="10"/>
  <c r="B14" i="10"/>
  <c r="A14" i="10"/>
  <c r="H11" i="10"/>
  <c r="F11" i="10"/>
  <c r="E11" i="10"/>
  <c r="D11" i="10"/>
  <c r="C11" i="10"/>
  <c r="H10" i="10"/>
  <c r="F10" i="10"/>
  <c r="E10" i="10"/>
  <c r="D10" i="10"/>
  <c r="C10" i="10"/>
  <c r="B10" i="10"/>
  <c r="A10" i="10"/>
  <c r="B5" i="10"/>
  <c r="A5" i="10"/>
  <c r="I4" i="10"/>
  <c r="A3" i="10"/>
  <c r="B152" i="8"/>
  <c r="B151" i="8"/>
  <c r="F22" i="8"/>
  <c r="E22" i="8"/>
  <c r="D22" i="8"/>
  <c r="C22" i="8"/>
  <c r="F17" i="8"/>
  <c r="E17" i="8"/>
  <c r="D17" i="8"/>
  <c r="C17" i="8"/>
  <c r="F13" i="8"/>
  <c r="E13" i="8"/>
  <c r="D13" i="8"/>
  <c r="C13" i="8"/>
  <c r="F10" i="8"/>
  <c r="E10" i="8"/>
  <c r="D10" i="8"/>
  <c r="C10" i="8"/>
  <c r="B202" i="7"/>
  <c r="B201" i="7"/>
  <c r="C4" i="7" s="1"/>
  <c r="F72" i="7"/>
  <c r="E72" i="7"/>
  <c r="D72" i="7"/>
  <c r="C72" i="7"/>
  <c r="F67" i="7"/>
  <c r="E67" i="7"/>
  <c r="D67" i="7"/>
  <c r="C67" i="7"/>
  <c r="F62" i="7"/>
  <c r="E62" i="7"/>
  <c r="D62" i="7"/>
  <c r="C62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D10" i="7"/>
  <c r="C10" i="7"/>
  <c r="B186" i="6"/>
  <c r="B185" i="6"/>
  <c r="C4" i="6" s="1"/>
  <c r="F56" i="6"/>
  <c r="E56" i="6"/>
  <c r="D56" i="6"/>
  <c r="C56" i="6"/>
  <c r="F50" i="6"/>
  <c r="E50" i="6"/>
  <c r="D50" i="6"/>
  <c r="C50" i="6"/>
  <c r="F46" i="6"/>
  <c r="E46" i="6"/>
  <c r="D46" i="6"/>
  <c r="C46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C23" i="6" s="1"/>
  <c r="C52" i="6" s="1"/>
  <c r="C58" i="6" s="1"/>
  <c r="F10" i="6"/>
  <c r="E10" i="6"/>
  <c r="D10" i="6"/>
  <c r="C10" i="6"/>
  <c r="B218" i="5"/>
  <c r="B217" i="5"/>
  <c r="C4" i="5" s="1"/>
  <c r="F88" i="5"/>
  <c r="E88" i="5"/>
  <c r="D88" i="5"/>
  <c r="C88" i="5"/>
  <c r="F83" i="5"/>
  <c r="E83" i="5"/>
  <c r="D83" i="5"/>
  <c r="C83" i="5"/>
  <c r="F75" i="5"/>
  <c r="E75" i="5"/>
  <c r="D75" i="5"/>
  <c r="C75" i="5"/>
  <c r="F24" i="5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D25" i="5" s="1"/>
  <c r="D85" i="5" s="1"/>
  <c r="D90" i="5" s="1"/>
  <c r="C11" i="5"/>
  <c r="C25" i="5" s="1"/>
  <c r="C85" i="5" s="1"/>
  <c r="C90" i="5" s="1"/>
  <c r="F10" i="5"/>
  <c r="F25" i="5" s="1"/>
  <c r="F85" i="5" s="1"/>
  <c r="F90" i="5" s="1"/>
  <c r="E10" i="5"/>
  <c r="D10" i="5"/>
  <c r="C10" i="5"/>
  <c r="B155" i="4"/>
  <c r="B154" i="4"/>
  <c r="H16" i="4"/>
  <c r="E16" i="4"/>
  <c r="C16" i="4"/>
  <c r="G15" i="4"/>
  <c r="H15" i="4" s="1"/>
  <c r="D15" i="4"/>
  <c r="E15" i="4" s="1"/>
  <c r="G14" i="4"/>
  <c r="F14" i="4"/>
  <c r="D14" i="4"/>
  <c r="C14" i="4"/>
  <c r="B14" i="4"/>
  <c r="A14" i="4"/>
  <c r="H11" i="4"/>
  <c r="E11" i="4"/>
  <c r="C11" i="4"/>
  <c r="G10" i="4"/>
  <c r="F10" i="4"/>
  <c r="D10" i="4"/>
  <c r="C10" i="4"/>
  <c r="B10" i="4"/>
  <c r="A10" i="4"/>
  <c r="K4" i="4"/>
  <c r="A3" i="4"/>
  <c r="B228" i="3"/>
  <c r="B227" i="3"/>
  <c r="C4" i="3" s="1"/>
  <c r="C89" i="3"/>
  <c r="I88" i="3"/>
  <c r="H88" i="3"/>
  <c r="E88" i="3"/>
  <c r="I87" i="3"/>
  <c r="H87" i="3"/>
  <c r="E87" i="3"/>
  <c r="H86" i="3"/>
  <c r="E86" i="3"/>
  <c r="I86" i="3" s="1"/>
  <c r="H85" i="3"/>
  <c r="E85" i="3"/>
  <c r="I85" i="3" s="1"/>
  <c r="I84" i="3"/>
  <c r="H84" i="3"/>
  <c r="E84" i="3"/>
  <c r="I83" i="3"/>
  <c r="H83" i="3"/>
  <c r="E83" i="3"/>
  <c r="H82" i="3"/>
  <c r="E82" i="3"/>
  <c r="I82" i="3" s="1"/>
  <c r="H81" i="3"/>
  <c r="E81" i="3"/>
  <c r="I81" i="3" s="1"/>
  <c r="I80" i="3"/>
  <c r="H80" i="3"/>
  <c r="E80" i="3"/>
  <c r="I79" i="3"/>
  <c r="H79" i="3"/>
  <c r="E79" i="3"/>
  <c r="H78" i="3"/>
  <c r="E78" i="3"/>
  <c r="I78" i="3" s="1"/>
  <c r="H77" i="3"/>
  <c r="E77" i="3"/>
  <c r="I77" i="3" s="1"/>
  <c r="I76" i="3"/>
  <c r="H76" i="3"/>
  <c r="E76" i="3"/>
  <c r="I75" i="3"/>
  <c r="H75" i="3"/>
  <c r="E75" i="3"/>
  <c r="H74" i="3"/>
  <c r="E74" i="3"/>
  <c r="I74" i="3" s="1"/>
  <c r="H73" i="3"/>
  <c r="E73" i="3"/>
  <c r="I73" i="3" s="1"/>
  <c r="I72" i="3"/>
  <c r="H72" i="3"/>
  <c r="E72" i="3"/>
  <c r="I71" i="3"/>
  <c r="H71" i="3"/>
  <c r="E71" i="3"/>
  <c r="H70" i="3"/>
  <c r="E70" i="3"/>
  <c r="I70" i="3" s="1"/>
  <c r="H69" i="3"/>
  <c r="E69" i="3"/>
  <c r="I69" i="3" s="1"/>
  <c r="I68" i="3"/>
  <c r="H68" i="3"/>
  <c r="E68" i="3"/>
  <c r="I67" i="3"/>
  <c r="H67" i="3"/>
  <c r="E67" i="3"/>
  <c r="H66" i="3"/>
  <c r="E66" i="3"/>
  <c r="I66" i="3" s="1"/>
  <c r="H65" i="3"/>
  <c r="E65" i="3"/>
  <c r="I65" i="3" s="1"/>
  <c r="I64" i="3"/>
  <c r="H64" i="3"/>
  <c r="E64" i="3"/>
  <c r="I63" i="3"/>
  <c r="H63" i="3"/>
  <c r="E63" i="3"/>
  <c r="H62" i="3"/>
  <c r="E62" i="3"/>
  <c r="I62" i="3" s="1"/>
  <c r="H61" i="3"/>
  <c r="E61" i="3"/>
  <c r="I61" i="3" s="1"/>
  <c r="I60" i="3"/>
  <c r="H60" i="3"/>
  <c r="E60" i="3"/>
  <c r="I59" i="3"/>
  <c r="H59" i="3"/>
  <c r="E59" i="3"/>
  <c r="H58" i="3"/>
  <c r="E58" i="3"/>
  <c r="I58" i="3" s="1"/>
  <c r="H57" i="3"/>
  <c r="E57" i="3"/>
  <c r="I57" i="3" s="1"/>
  <c r="I56" i="3"/>
  <c r="H56" i="3"/>
  <c r="E56" i="3"/>
  <c r="I55" i="3"/>
  <c r="H55" i="3"/>
  <c r="E55" i="3"/>
  <c r="H54" i="3"/>
  <c r="E54" i="3"/>
  <c r="I54" i="3" s="1"/>
  <c r="H53" i="3"/>
  <c r="H89" i="3" s="1"/>
  <c r="E53" i="3"/>
  <c r="E89" i="3" s="1"/>
  <c r="I89" i="3" s="1"/>
  <c r="C50" i="3"/>
  <c r="H49" i="3"/>
  <c r="E49" i="3"/>
  <c r="I49" i="3" s="1"/>
  <c r="H48" i="3"/>
  <c r="E48" i="3"/>
  <c r="I48" i="3" s="1"/>
  <c r="H47" i="3"/>
  <c r="I47" i="3" s="1"/>
  <c r="E47" i="3"/>
  <c r="H46" i="3"/>
  <c r="E46" i="3"/>
  <c r="I46" i="3" s="1"/>
  <c r="H45" i="3"/>
  <c r="E45" i="3"/>
  <c r="I45" i="3" s="1"/>
  <c r="H44" i="3"/>
  <c r="E44" i="3"/>
  <c r="I44" i="3" s="1"/>
  <c r="H43" i="3"/>
  <c r="I43" i="3" s="1"/>
  <c r="E43" i="3"/>
  <c r="H42" i="3"/>
  <c r="E42" i="3"/>
  <c r="I42" i="3" s="1"/>
  <c r="H41" i="3"/>
  <c r="E41" i="3"/>
  <c r="I41" i="3" s="1"/>
  <c r="H40" i="3"/>
  <c r="E40" i="3"/>
  <c r="I40" i="3" s="1"/>
  <c r="H39" i="3"/>
  <c r="I39" i="3" s="1"/>
  <c r="E39" i="3"/>
  <c r="H38" i="3"/>
  <c r="E38" i="3"/>
  <c r="I38" i="3" s="1"/>
  <c r="H37" i="3"/>
  <c r="E37" i="3"/>
  <c r="I37" i="3" s="1"/>
  <c r="H36" i="3"/>
  <c r="E36" i="3"/>
  <c r="I36" i="3" s="1"/>
  <c r="H35" i="3"/>
  <c r="I35" i="3" s="1"/>
  <c r="E35" i="3"/>
  <c r="H34" i="3"/>
  <c r="E34" i="3"/>
  <c r="I34" i="3" s="1"/>
  <c r="H33" i="3"/>
  <c r="E33" i="3"/>
  <c r="I33" i="3" s="1"/>
  <c r="H32" i="3"/>
  <c r="E32" i="3"/>
  <c r="I32" i="3" s="1"/>
  <c r="H31" i="3"/>
  <c r="I31" i="3" s="1"/>
  <c r="E31" i="3"/>
  <c r="H30" i="3"/>
  <c r="E30" i="3"/>
  <c r="I30" i="3" s="1"/>
  <c r="H29" i="3"/>
  <c r="E29" i="3"/>
  <c r="I29" i="3" s="1"/>
  <c r="H28" i="3"/>
  <c r="E28" i="3"/>
  <c r="I28" i="3" s="1"/>
  <c r="H27" i="3"/>
  <c r="I27" i="3" s="1"/>
  <c r="E27" i="3"/>
  <c r="H26" i="3"/>
  <c r="E26" i="3"/>
  <c r="I26" i="3" s="1"/>
  <c r="H25" i="3"/>
  <c r="E25" i="3"/>
  <c r="I25" i="3" s="1"/>
  <c r="H24" i="3"/>
  <c r="E24" i="3"/>
  <c r="I24" i="3" s="1"/>
  <c r="H23" i="3"/>
  <c r="I23" i="3" s="1"/>
  <c r="E23" i="3"/>
  <c r="H22" i="3"/>
  <c r="E22" i="3"/>
  <c r="I22" i="3" s="1"/>
  <c r="H21" i="3"/>
  <c r="E21" i="3"/>
  <c r="I21" i="3" s="1"/>
  <c r="H20" i="3"/>
  <c r="E20" i="3"/>
  <c r="I20" i="3" s="1"/>
  <c r="H19" i="3"/>
  <c r="I19" i="3" s="1"/>
  <c r="E19" i="3"/>
  <c r="H18" i="3"/>
  <c r="E18" i="3"/>
  <c r="I18" i="3" s="1"/>
  <c r="H17" i="3"/>
  <c r="E17" i="3"/>
  <c r="I17" i="3" s="1"/>
  <c r="H16" i="3"/>
  <c r="E16" i="3"/>
  <c r="I16" i="3" s="1"/>
  <c r="H15" i="3"/>
  <c r="I15" i="3" s="1"/>
  <c r="E15" i="3"/>
  <c r="H14" i="3"/>
  <c r="E14" i="3"/>
  <c r="I14" i="3" s="1"/>
  <c r="H13" i="3"/>
  <c r="E13" i="3"/>
  <c r="I13" i="3" s="1"/>
  <c r="H12" i="3"/>
  <c r="E12" i="3"/>
  <c r="I12" i="3" s="1"/>
  <c r="H11" i="3"/>
  <c r="I11" i="3" s="1"/>
  <c r="E11" i="3"/>
  <c r="H10" i="3"/>
  <c r="H50" i="3" s="1"/>
  <c r="E10" i="3"/>
  <c r="I10" i="3" s="1"/>
  <c r="B156" i="2"/>
  <c r="B155" i="2"/>
  <c r="H26" i="2"/>
  <c r="F26" i="2"/>
  <c r="E26" i="2"/>
  <c r="D26" i="2"/>
  <c r="C26" i="2"/>
  <c r="H25" i="2"/>
  <c r="F25" i="2"/>
  <c r="E25" i="2"/>
  <c r="D25" i="2"/>
  <c r="C25" i="2"/>
  <c r="B25" i="2"/>
  <c r="A25" i="2"/>
  <c r="H20" i="2"/>
  <c r="F20" i="2"/>
  <c r="E20" i="2"/>
  <c r="D20" i="2"/>
  <c r="C20" i="2"/>
  <c r="H19" i="2"/>
  <c r="F19" i="2"/>
  <c r="E19" i="2"/>
  <c r="D19" i="2"/>
  <c r="C19" i="2"/>
  <c r="B19" i="2"/>
  <c r="A19" i="2"/>
  <c r="H18" i="2"/>
  <c r="F18" i="2"/>
  <c r="E18" i="2"/>
  <c r="D18" i="2"/>
  <c r="C18" i="2"/>
  <c r="B18" i="2"/>
  <c r="A18" i="2"/>
  <c r="H15" i="2"/>
  <c r="F15" i="2"/>
  <c r="E15" i="2"/>
  <c r="D15" i="2"/>
  <c r="C15" i="2"/>
  <c r="H14" i="2"/>
  <c r="F14" i="2"/>
  <c r="E14" i="2"/>
  <c r="D14" i="2"/>
  <c r="C14" i="2"/>
  <c r="B14" i="2"/>
  <c r="A14" i="2"/>
  <c r="H11" i="2"/>
  <c r="F11" i="2"/>
  <c r="E11" i="2"/>
  <c r="D11" i="2"/>
  <c r="C11" i="2"/>
  <c r="H10" i="2"/>
  <c r="F10" i="2"/>
  <c r="E10" i="2"/>
  <c r="D10" i="2"/>
  <c r="C10" i="2"/>
  <c r="B10" i="2"/>
  <c r="A10" i="2"/>
  <c r="I4" i="2"/>
  <c r="A3" i="2"/>
  <c r="B255" i="1"/>
  <c r="B254" i="1"/>
  <c r="F125" i="1"/>
  <c r="E125" i="1"/>
  <c r="D125" i="1"/>
  <c r="C125" i="1"/>
  <c r="F120" i="1"/>
  <c r="E120" i="1"/>
  <c r="D120" i="1"/>
  <c r="C120" i="1"/>
  <c r="F112" i="1"/>
  <c r="E112" i="1"/>
  <c r="D112" i="1"/>
  <c r="C112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C19" i="8" l="1"/>
  <c r="C24" i="8" s="1"/>
  <c r="D19" i="8"/>
  <c r="D24" i="8" s="1"/>
  <c r="E19" i="8"/>
  <c r="F19" i="8"/>
  <c r="F24" i="8" s="1"/>
  <c r="C4" i="8"/>
  <c r="D23" i="7"/>
  <c r="D69" i="7" s="1"/>
  <c r="D74" i="7" s="1"/>
  <c r="E23" i="7"/>
  <c r="C23" i="7"/>
  <c r="C69" i="7" s="1"/>
  <c r="C74" i="7" s="1"/>
  <c r="F23" i="7"/>
  <c r="F69" i="7" s="1"/>
  <c r="F74" i="7" s="1"/>
  <c r="D23" i="6"/>
  <c r="D52" i="6" s="1"/>
  <c r="D58" i="6" s="1"/>
  <c r="G25" i="10"/>
  <c r="E23" i="6"/>
  <c r="I19" i="10"/>
  <c r="D22" i="10"/>
  <c r="D28" i="10" s="1"/>
  <c r="G20" i="2"/>
  <c r="D22" i="2"/>
  <c r="D28" i="2" s="1"/>
  <c r="I26" i="2"/>
  <c r="E14" i="4"/>
  <c r="I11" i="4"/>
  <c r="I20" i="10"/>
  <c r="I26" i="10"/>
  <c r="C4" i="1"/>
  <c r="C38" i="1"/>
  <c r="C122" i="1" s="1"/>
  <c r="C127" i="1" s="1"/>
  <c r="I11" i="10"/>
  <c r="D38" i="1"/>
  <c r="D122" i="1" s="1"/>
  <c r="D127" i="1" s="1"/>
  <c r="E38" i="1"/>
  <c r="I10" i="10"/>
  <c r="G18" i="10"/>
  <c r="C22" i="10"/>
  <c r="C28" i="10" s="1"/>
  <c r="I18" i="10"/>
  <c r="F22" i="2"/>
  <c r="F28" i="2" s="1"/>
  <c r="E22" i="10"/>
  <c r="H22" i="2"/>
  <c r="H28" i="2" s="1"/>
  <c r="G19" i="2"/>
  <c r="G25" i="2"/>
  <c r="H10" i="4"/>
  <c r="F22" i="10"/>
  <c r="F28" i="10" s="1"/>
  <c r="I19" i="2"/>
  <c r="I25" i="2"/>
  <c r="I16" i="4"/>
  <c r="G19" i="10"/>
  <c r="I15" i="4"/>
  <c r="G14" i="10"/>
  <c r="G10" i="2"/>
  <c r="G14" i="2"/>
  <c r="G18" i="2"/>
  <c r="H4" i="4"/>
  <c r="I25" i="10"/>
  <c r="I14" i="10"/>
  <c r="I10" i="2"/>
  <c r="I14" i="2"/>
  <c r="C22" i="2"/>
  <c r="C28" i="2" s="1"/>
  <c r="I20" i="2"/>
  <c r="F4" i="2"/>
  <c r="H14" i="4"/>
  <c r="G11" i="10"/>
  <c r="I15" i="10"/>
  <c r="I11" i="2"/>
  <c r="I15" i="2"/>
  <c r="H22" i="10"/>
  <c r="H28" i="10" s="1"/>
  <c r="E10" i="4"/>
  <c r="F4" i="10"/>
  <c r="E69" i="7"/>
  <c r="E52" i="6"/>
  <c r="E24" i="8"/>
  <c r="E122" i="1"/>
  <c r="E22" i="2"/>
  <c r="G11" i="2"/>
  <c r="I53" i="3"/>
  <c r="G15" i="10"/>
  <c r="G26" i="10"/>
  <c r="G10" i="10"/>
  <c r="G20" i="10"/>
  <c r="I18" i="2"/>
  <c r="G15" i="2"/>
  <c r="G26" i="2"/>
  <c r="F23" i="6"/>
  <c r="F52" i="6" s="1"/>
  <c r="F58" i="6" s="1"/>
  <c r="E25" i="5"/>
  <c r="F38" i="1"/>
  <c r="F122" i="1" s="1"/>
  <c r="F127" i="1" s="1"/>
  <c r="E50" i="3"/>
  <c r="I50" i="3" s="1"/>
  <c r="I14" i="4" l="1"/>
  <c r="I10" i="4"/>
  <c r="G22" i="10"/>
  <c r="I22" i="10"/>
  <c r="E28" i="10"/>
  <c r="I28" i="10" s="1"/>
  <c r="G28" i="10"/>
  <c r="E127" i="1"/>
  <c r="E58" i="6"/>
  <c r="E85" i="5"/>
  <c r="E74" i="7"/>
  <c r="E28" i="2"/>
  <c r="I22" i="2"/>
  <c r="G22" i="2"/>
  <c r="G28" i="2" l="1"/>
  <c r="I28" i="2"/>
  <c r="E90" i="5"/>
</calcChain>
</file>

<file path=xl/sharedStrings.xml><?xml version="1.0" encoding="utf-8"?>
<sst xmlns="http://schemas.openxmlformats.org/spreadsheetml/2006/main" count="779" uniqueCount="239">
  <si>
    <t>Inntekter</t>
  </si>
  <si>
    <t>Februar</t>
  </si>
  <si>
    <t>04</t>
  </si>
  <si>
    <t>08</t>
  </si>
  <si>
    <t>11</t>
  </si>
  <si>
    <t>November</t>
  </si>
  <si>
    <t>Spesielle offentlige tilskudd</t>
  </si>
  <si>
    <t>Utgifter spons og dugnad</t>
  </si>
  <si>
    <t>Strøm Hovdebakken</t>
  </si>
  <si>
    <t>Reparasjon og vedlikehold skiløyper</t>
  </si>
  <si>
    <t>Reisekostnader, ikke oppgavepl</t>
  </si>
  <si>
    <t>Tilskudd alpint</t>
  </si>
  <si>
    <t>Rentekostnad leverandørgjeld</t>
  </si>
  <si>
    <t>Buypass</t>
  </si>
  <si>
    <t>Kontanter</t>
  </si>
  <si>
    <t>KASSEDIFFERANSE</t>
  </si>
  <si>
    <t>Annen kapital</t>
  </si>
  <si>
    <t>Oppgjørskonto merverdiavgift</t>
  </si>
  <si>
    <t>Hittil</t>
  </si>
  <si>
    <t>I år</t>
  </si>
  <si>
    <t>Finansinntekter/-kostnader</t>
  </si>
  <si>
    <t>April</t>
  </si>
  <si>
    <t>ib. Ifjor</t>
  </si>
  <si>
    <t>Utleie klubbhus avg.pl høy sats</t>
  </si>
  <si>
    <t>Grasrotandeler</t>
  </si>
  <si>
    <t>Kick Back Avtaler</t>
  </si>
  <si>
    <t>Overført fra hovedlag</t>
  </si>
  <si>
    <t>Kommunale avgifter</t>
  </si>
  <si>
    <t>Kredittkortprovisjoner</t>
  </si>
  <si>
    <t>Renter banklån</t>
  </si>
  <si>
    <t>Bankinnskudd 2050.36.98219 Skiskyting Team skistua/Team Intersport Oppdal</t>
  </si>
  <si>
    <t>Betalt forskuddstrekk</t>
  </si>
  <si>
    <t>Mellomregning skiskyting</t>
  </si>
  <si>
    <t>Diverse intern gjeld - fordeling mva T62016-T52017</t>
  </si>
  <si>
    <t>Langrenn</t>
  </si>
  <si>
    <t>Netto finans</t>
  </si>
  <si>
    <t>endring</t>
  </si>
  <si>
    <t>Aktivitetsmidler</t>
  </si>
  <si>
    <t>Medlemskontingent, avgiftsfritt utenfor avg.området</t>
  </si>
  <si>
    <t>Opph/reise renn/repr.</t>
  </si>
  <si>
    <t>Strøm langrenn</t>
  </si>
  <si>
    <t>Porto</t>
  </si>
  <si>
    <t>Tilskudd fra Gjøvik kommune, for heis</t>
  </si>
  <si>
    <t>Mellomregning Skiskytter - HL</t>
  </si>
  <si>
    <t>Interrim 1500</t>
  </si>
  <si>
    <t>Opptjent,ikke fakt. inntekt</t>
  </si>
  <si>
    <t>Bankinnskudd 2050.34.09683 Skiskyting</t>
  </si>
  <si>
    <t>Utgående merverdiavgift, lav sats</t>
  </si>
  <si>
    <t>Påløpt arb.g.avg av ferielønn</t>
  </si>
  <si>
    <t>Feriepenger sluttoppgjør</t>
  </si>
  <si>
    <t>Skatter, disponeringer mv</t>
  </si>
  <si>
    <t>SUM EIENDELER</t>
  </si>
  <si>
    <t>SUM EGENKAPITAL OG GJELD</t>
  </si>
  <si>
    <t>Avdeling:</t>
  </si>
  <si>
    <t>Gaver</t>
  </si>
  <si>
    <t>Spillmidler</t>
  </si>
  <si>
    <t>Treningsavgift, avgiftsfritt utenfor avg.området</t>
  </si>
  <si>
    <t>Tilskudd til aktive</t>
  </si>
  <si>
    <t>Innkjøp salgsvarer</t>
  </si>
  <si>
    <t>Andre anleggsutgifter</t>
  </si>
  <si>
    <t>Provisjon/transaksjonsgebyr Spond</t>
  </si>
  <si>
    <t>Mellomregning hovedlaget</t>
  </si>
  <si>
    <t>Mellomregning alpint</t>
  </si>
  <si>
    <t>Skattetrekk Alpint 1503.94.73566</t>
  </si>
  <si>
    <t>Avsatte feriepenger</t>
  </si>
  <si>
    <t>01</t>
  </si>
  <si>
    <t>Mars</t>
  </si>
  <si>
    <t>05</t>
  </si>
  <si>
    <t>09</t>
  </si>
  <si>
    <t>12</t>
  </si>
  <si>
    <t>Salg heiskort/utleie heis avgiftspliktig, lav sats</t>
  </si>
  <si>
    <t>Andre inntekter</t>
  </si>
  <si>
    <t>Dugnader</t>
  </si>
  <si>
    <t>Frakt, toll og spedisjon</t>
  </si>
  <si>
    <t>Emballasjematerialer</t>
  </si>
  <si>
    <t>Renovasjon</t>
  </si>
  <si>
    <t>Varige investeringer - heis</t>
  </si>
  <si>
    <t>Inventar</t>
  </si>
  <si>
    <t>Diesel</t>
  </si>
  <si>
    <t>Bank- og kortgebyr</t>
  </si>
  <si>
    <t>Diverse andre kostnader</t>
  </si>
  <si>
    <t>Kundefordring</t>
  </si>
  <si>
    <t>Bankinnskudd 5555.5555</t>
  </si>
  <si>
    <t>Avsatt arbeidsgiveravgift</t>
  </si>
  <si>
    <t>Resultat etter finans</t>
  </si>
  <si>
    <t>SUM SKATTER, DISPONERINGER MV.</t>
  </si>
  <si>
    <t>September</t>
  </si>
  <si>
    <t>Rapportperiode</t>
  </si>
  <si>
    <t>endring i fjor</t>
  </si>
  <si>
    <t>Kiosksalg Hovdebakken, avgiftsfritt utenfor avg.området</t>
  </si>
  <si>
    <t>Varekostnad Sponsortrykk og skilt</t>
  </si>
  <si>
    <t>Programvare årlig vedlikehold</t>
  </si>
  <si>
    <t>Bilgodtgjørelse, ikke oppg.pliktig</t>
  </si>
  <si>
    <t>Mva refusjon</t>
  </si>
  <si>
    <t>Bankinnskudd 2050.21.67392 L/Drift</t>
  </si>
  <si>
    <t>Bankinnskudd 1604.05.76537 A/Drift</t>
  </si>
  <si>
    <t>Bankinnskudd 1604.05.76510 A/Spar</t>
  </si>
  <si>
    <t>Trukket forskuddstrekk</t>
  </si>
  <si>
    <t>Inngående merverdiavgift, høy sats</t>
  </si>
  <si>
    <t>Forskudd fra kunder</t>
  </si>
  <si>
    <t>Periodisering årskort hovdebakken</t>
  </si>
  <si>
    <t>Juli</t>
  </si>
  <si>
    <t>August</t>
  </si>
  <si>
    <t>Desember</t>
  </si>
  <si>
    <t>Avgiftspliktig salg</t>
  </si>
  <si>
    <t>Startkontingenter</t>
  </si>
  <si>
    <t>Grunnlag MVA innførsel varer, høy sats kredit</t>
  </si>
  <si>
    <t>Utgifter egne arrangement</t>
  </si>
  <si>
    <t>Annet driftsmateriale</t>
  </si>
  <si>
    <t>Internett</t>
  </si>
  <si>
    <t>Provisjon Vipps</t>
  </si>
  <si>
    <t>Gebyr Buypass</t>
  </si>
  <si>
    <t>Fordring på Gjøvik kommune</t>
  </si>
  <si>
    <t>Inngående merverdiavgift, høy sats, innførsel utland</t>
  </si>
  <si>
    <t>Ekstrainnsats deltakelse</t>
  </si>
  <si>
    <t>Kjøredato</t>
  </si>
  <si>
    <t>Avvik</t>
  </si>
  <si>
    <t>SUM INNTEKTER</t>
  </si>
  <si>
    <t>SUM ANDRE KOSTNADER</t>
  </si>
  <si>
    <t>Kjøp klubbjakker</t>
  </si>
  <si>
    <t>Innkjøp utstyr</t>
  </si>
  <si>
    <t>Grunnlag MVA innførsel varer, høy sats debet</t>
  </si>
  <si>
    <t>Drift vedl. bygn. A</t>
  </si>
  <si>
    <t>Kontorrekvisita</t>
  </si>
  <si>
    <t>Møtekostnader (ikke styre-m.m)</t>
  </si>
  <si>
    <t>Sesongavslutning</t>
  </si>
  <si>
    <t>Renteinntekt bankinnskudd/post</t>
  </si>
  <si>
    <t>Andre kortsiktige fordringer</t>
  </si>
  <si>
    <t>Lønnsforskudd</t>
  </si>
  <si>
    <t>budsjett</t>
  </si>
  <si>
    <t>02</t>
  </si>
  <si>
    <t>06</t>
  </si>
  <si>
    <t>Kostnader skiskole</t>
  </si>
  <si>
    <t>Øreavrunding</t>
  </si>
  <si>
    <t>Gebyr Vipps</t>
  </si>
  <si>
    <t>Maskiner og anlegg (d)</t>
  </si>
  <si>
    <t>Diverse tilskudd/gaver til bygging av heis</t>
  </si>
  <si>
    <t>Fordringer Vipps</t>
  </si>
  <si>
    <t>Fordring Paypal</t>
  </si>
  <si>
    <t>Mellomregning langrenn</t>
  </si>
  <si>
    <t>Inngående merverdiavgift, lav sats</t>
  </si>
  <si>
    <t>Betalt arbeidsgiveravgift</t>
  </si>
  <si>
    <t>Utbetalte feriepenger</t>
  </si>
  <si>
    <t>Periodisert medlemskontingent</t>
  </si>
  <si>
    <t>Resultat hittil</t>
  </si>
  <si>
    <t>Tilskudd fra NIF</t>
  </si>
  <si>
    <t>Skiarrangement</t>
  </si>
  <si>
    <t>Mva kompensasjon</t>
  </si>
  <si>
    <t>Avskrivning driftsløsøre</t>
  </si>
  <si>
    <t>Datautstyr</t>
  </si>
  <si>
    <t>Regnskapshonorar</t>
  </si>
  <si>
    <t>Tilskudd spillmidler for bygging av heis</t>
  </si>
  <si>
    <t>Bankinnskudd 2050.21.59829 H/Drift</t>
  </si>
  <si>
    <t>Interrim 2400</t>
  </si>
  <si>
    <t>Utgående merverdiavgift, høy sats, innførsel utland</t>
  </si>
  <si>
    <t>Overføringer annen egenkapital</t>
  </si>
  <si>
    <t>RESULTATOVERSIKT MOT BUDSJETT</t>
  </si>
  <si>
    <t>Denne periode</t>
  </si>
  <si>
    <t>Gjøvik Skiklubb</t>
  </si>
  <si>
    <t>Avgiftspliktig salg høy sats</t>
  </si>
  <si>
    <t>Sponsorinntekt fritt</t>
  </si>
  <si>
    <t>Stønad til ulike prosjekter</t>
  </si>
  <si>
    <t>Dir. utg. vedr. trenersid</t>
  </si>
  <si>
    <t>Mellomregning Skiskyting/alpint</t>
  </si>
  <si>
    <t>Alpint</t>
  </si>
  <si>
    <t>Endring</t>
  </si>
  <si>
    <t>Mai</t>
  </si>
  <si>
    <t>Oktober</t>
  </si>
  <si>
    <t>Utleie Hovdebakken, avgiftspliktig lav sats</t>
  </si>
  <si>
    <t>Aktivitetsuke Alpint</t>
  </si>
  <si>
    <t>Leie datasystemer</t>
  </si>
  <si>
    <t>Administrasjonskostnader</t>
  </si>
  <si>
    <t>Telefon</t>
  </si>
  <si>
    <t>Kontingenter</t>
  </si>
  <si>
    <t>Valutatap (disagio)</t>
  </si>
  <si>
    <t>Spleisinnsamling Heis</t>
  </si>
  <si>
    <t>Tilgode/oppgjørskonto mva</t>
  </si>
  <si>
    <t>Leverandørgjeld</t>
  </si>
  <si>
    <t>KORTS.GJ. SELSKAP I KONSERN</t>
  </si>
  <si>
    <t>Annen kortsiktig gjeld</t>
  </si>
  <si>
    <t>Totalt for alle avdelinger</t>
  </si>
  <si>
    <t>I fjor</t>
  </si>
  <si>
    <t>Eiendeler</t>
  </si>
  <si>
    <t>Ikke bokført resultat</t>
  </si>
  <si>
    <t>Januar</t>
  </si>
  <si>
    <t>03</t>
  </si>
  <si>
    <t>07</t>
  </si>
  <si>
    <t>10</t>
  </si>
  <si>
    <t>Utg. Marken</t>
  </si>
  <si>
    <t>Samlinger</t>
  </si>
  <si>
    <t>Kjøp forbruksvarer</t>
  </si>
  <si>
    <t>Lønn til ansatte</t>
  </si>
  <si>
    <t>Feriepenger</t>
  </si>
  <si>
    <t>Snøproduksjon</t>
  </si>
  <si>
    <t>Drift og vedlikehold</t>
  </si>
  <si>
    <t>Forsikringspremier</t>
  </si>
  <si>
    <t>Provisjon Pay Pal</t>
  </si>
  <si>
    <t>ATV FB6669 Artic Cat 2017</t>
  </si>
  <si>
    <t>Heis</t>
  </si>
  <si>
    <t>Andre forskuddsbet. kostnader</t>
  </si>
  <si>
    <t>Inngående merverdiavgift, middel sats</t>
  </si>
  <si>
    <t>Skiskyting</t>
  </si>
  <si>
    <t>Sponsorinntekt avgiftspliktig, høy sats</t>
  </si>
  <si>
    <t>Salgsinntekt utenfor området</t>
  </si>
  <si>
    <t>Egenandel samlinger</t>
  </si>
  <si>
    <t>Andre treningskostnader</t>
  </si>
  <si>
    <t>Tilskudd langrennsutvalg</t>
  </si>
  <si>
    <t>Renter/provisjon kassekreditt</t>
  </si>
  <si>
    <t>Diverse interne fordringer, fordeling mva T62016-T52017</t>
  </si>
  <si>
    <t>Mellomregningskonto</t>
  </si>
  <si>
    <t>Forskuddsbetalt forsikring</t>
  </si>
  <si>
    <t>Kontanter Hovdebakken</t>
  </si>
  <si>
    <t>Andre påløpne kostnader</t>
  </si>
  <si>
    <t>Team Intersport Oppdal</t>
  </si>
  <si>
    <t>Rapport pr:</t>
  </si>
  <si>
    <t>Kostnader</t>
  </si>
  <si>
    <t>Egenkapital og gjeld</t>
  </si>
  <si>
    <t>Juni</t>
  </si>
  <si>
    <t>Salg av brukte driftsmidler, unntatt mva</t>
  </si>
  <si>
    <t>Treningsavg. Team m/mer</t>
  </si>
  <si>
    <t>Løypepreparering</t>
  </si>
  <si>
    <t>Fordring på superinvite (alpint)</t>
  </si>
  <si>
    <t>Spond</t>
  </si>
  <si>
    <t>Gjeld til kredittinstitusjoner</t>
  </si>
  <si>
    <t>Mva etter 6. termin</t>
  </si>
  <si>
    <t>Hovedlaget</t>
  </si>
  <si>
    <t>Gjøvik Marken, avgiftsfritt dugnadsarbeid</t>
  </si>
  <si>
    <t>Annen driftsinntekt</t>
  </si>
  <si>
    <t>Diverse utg. langrenn</t>
  </si>
  <si>
    <t>Drift/vedlikehold heis</t>
  </si>
  <si>
    <t>Drift hovdebakken</t>
  </si>
  <si>
    <t>Drift/vedlikeh. scooter</t>
  </si>
  <si>
    <t>Utgående merverdiavgift, høy sats</t>
  </si>
  <si>
    <t>Skyldig lønn</t>
  </si>
  <si>
    <t>Spleisinnsamling - balanseføres inntil bruk av midler</t>
  </si>
  <si>
    <t xml:space="preserve">RESULTATOVERSIKT </t>
  </si>
  <si>
    <t xml:space="preserve">Utarbeidet av: Frisikt Økonomi </t>
  </si>
  <si>
    <t/>
  </si>
  <si>
    <t>RESULTATOVERSIKT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</si>
</sst>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/m/yyyy;@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 tint="0.149967955565050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4" fontId="0" fillId="2" borderId="1" xfId="0" applyNumberFormat="1" applyFill="1" applyBorder="1"/>
    <xf numFmtId="0" fontId="0" fillId="0" borderId="2" xfId="0" applyBorder="1"/>
    <xf numFmtId="4" fontId="1" fillId="2" borderId="1" xfId="0" applyNumberFormat="1" applyFont="1" applyFill="1" applyBorder="1"/>
    <xf numFmtId="4" fontId="0" fillId="3" borderId="2" xfId="0" applyNumberFormat="1" applyFill="1" applyBorder="1"/>
    <xf numFmtId="3" fontId="0" fillId="2" borderId="1" xfId="0" applyNumberFormat="1" applyFill="1" applyBorder="1"/>
    <xf numFmtId="0" fontId="1" fillId="0" borderId="2" xfId="0" applyFont="1" applyBorder="1"/>
    <xf numFmtId="4" fontId="0" fillId="4" borderId="0" xfId="0" applyNumberFormat="1" applyFill="1"/>
    <xf numFmtId="4" fontId="0" fillId="5" borderId="1" xfId="0" applyNumberFormat="1" applyFill="1" applyBorder="1"/>
    <xf numFmtId="4" fontId="0" fillId="5" borderId="2" xfId="0" applyNumberFormat="1" applyFill="1" applyBorder="1"/>
    <xf numFmtId="4" fontId="0" fillId="3" borderId="0" xfId="0" applyNumberFormat="1" applyFill="1"/>
    <xf numFmtId="4" fontId="0" fillId="5" borderId="0" xfId="0" applyNumberFormat="1" applyFill="1"/>
    <xf numFmtId="4" fontId="0" fillId="0" borderId="0" xfId="0" applyNumberFormat="1"/>
    <xf numFmtId="3" fontId="1" fillId="2" borderId="3" xfId="0" applyNumberFormat="1" applyFont="1" applyFill="1" applyBorder="1"/>
    <xf numFmtId="4" fontId="1" fillId="3" borderId="2" xfId="0" applyNumberFormat="1" applyFont="1" applyFill="1" applyBorder="1"/>
    <xf numFmtId="0" fontId="1" fillId="0" borderId="5" xfId="0" applyFont="1" applyBorder="1"/>
    <xf numFmtId="4" fontId="0" fillId="3" borderId="6" xfId="0" applyNumberFormat="1" applyFill="1" applyBorder="1"/>
    <xf numFmtId="0" fontId="1" fillId="0" borderId="7" xfId="0" applyFont="1" applyBorder="1"/>
    <xf numFmtId="4" fontId="1" fillId="5" borderId="2" xfId="0" applyNumberFormat="1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4" borderId="0" xfId="0" applyNumberFormat="1" applyFont="1" applyFill="1"/>
    <xf numFmtId="3" fontId="0" fillId="3" borderId="2" xfId="0" applyNumberFormat="1" applyFill="1" applyBorder="1"/>
    <xf numFmtId="0" fontId="1" fillId="0" borderId="8" xfId="0" applyFont="1" applyBorder="1"/>
    <xf numFmtId="0" fontId="1" fillId="0" borderId="9" xfId="0" applyFont="1" applyBorder="1"/>
    <xf numFmtId="4" fontId="1" fillId="2" borderId="10" xfId="0" applyNumberFormat="1" applyFont="1" applyFill="1" applyBorder="1" applyAlignment="1">
      <alignment horizontal="right"/>
    </xf>
    <xf numFmtId="4" fontId="1" fillId="3" borderId="0" xfId="0" applyNumberFormat="1" applyFont="1" applyFill="1"/>
    <xf numFmtId="4" fontId="1" fillId="2" borderId="11" xfId="0" applyNumberFormat="1" applyFont="1" applyFill="1" applyBorder="1" applyAlignment="1">
      <alignment horizontal="right"/>
    </xf>
    <xf numFmtId="4" fontId="1" fillId="5" borderId="1" xfId="0" applyNumberFormat="1" applyFont="1" applyFill="1" applyBorder="1"/>
    <xf numFmtId="3" fontId="0" fillId="3" borderId="0" xfId="0" applyNumberFormat="1" applyFill="1"/>
    <xf numFmtId="3" fontId="0" fillId="5" borderId="2" xfId="0" applyNumberFormat="1" applyFill="1" applyBorder="1"/>
    <xf numFmtId="3" fontId="0" fillId="5" borderId="1" xfId="0" applyNumberFormat="1" applyFill="1" applyBorder="1"/>
    <xf numFmtId="4" fontId="0" fillId="4" borderId="12" xfId="0" applyNumberFormat="1" applyFill="1" applyBorder="1"/>
    <xf numFmtId="4" fontId="1" fillId="5" borderId="0" xfId="0" applyNumberFormat="1" applyFont="1" applyFill="1"/>
    <xf numFmtId="3" fontId="1" fillId="3" borderId="8" xfId="0" applyNumberFormat="1" applyFont="1" applyFill="1" applyBorder="1"/>
    <xf numFmtId="0" fontId="1" fillId="0" borderId="13" xfId="0" applyFont="1" applyBorder="1"/>
    <xf numFmtId="3" fontId="1" fillId="3" borderId="15" xfId="0" applyNumberFormat="1" applyFont="1" applyFill="1" applyBorder="1"/>
    <xf numFmtId="0" fontId="1" fillId="0" borderId="16" xfId="0" applyFont="1" applyBorder="1"/>
    <xf numFmtId="4" fontId="0" fillId="0" borderId="0" xfId="0" applyNumberFormat="1" applyAlignment="1">
      <alignment horizontal="right"/>
    </xf>
    <xf numFmtId="165" fontId="0" fillId="0" borderId="0" xfId="0" applyNumberFormat="1"/>
    <xf numFmtId="3" fontId="1" fillId="5" borderId="8" xfId="0" applyNumberFormat="1" applyFont="1" applyFill="1" applyBorder="1"/>
    <xf numFmtId="3" fontId="1" fillId="3" borderId="17" xfId="0" applyNumberFormat="1" applyFont="1" applyFill="1" applyBorder="1"/>
    <xf numFmtId="4" fontId="1" fillId="3" borderId="6" xfId="0" applyNumberFormat="1" applyFont="1" applyFill="1" applyBorder="1"/>
    <xf numFmtId="0" fontId="0" fillId="6" borderId="0" xfId="0" applyFill="1"/>
    <xf numFmtId="3" fontId="1" fillId="5" borderId="15" xfId="0" applyNumberFormat="1" applyFont="1" applyFill="1" applyBorder="1"/>
    <xf numFmtId="4" fontId="2" fillId="0" borderId="0" xfId="0" applyNumberFormat="1" applyFont="1" applyAlignment="1">
      <alignment horizontal="right"/>
    </xf>
    <xf numFmtId="3" fontId="1" fillId="3" borderId="7" xfId="0" applyNumberFormat="1" applyFont="1" applyFill="1" applyBorder="1"/>
    <xf numFmtId="49" fontId="0" fillId="6" borderId="0" xfId="0" applyNumberFormat="1" applyFill="1"/>
    <xf numFmtId="0" fontId="3" fillId="0" borderId="0" xfId="0" applyFont="1"/>
    <xf numFmtId="3" fontId="1" fillId="5" borderId="4" xfId="0" applyNumberFormat="1" applyFont="1" applyFill="1" applyBorder="1"/>
    <xf numFmtId="3" fontId="1" fillId="5" borderId="3" xfId="0" applyNumberFormat="1" applyFont="1" applyFill="1" applyBorder="1"/>
    <xf numFmtId="4" fontId="1" fillId="2" borderId="3" xfId="0" applyNumberFormat="1" applyFont="1" applyFill="1" applyBorder="1"/>
    <xf numFmtId="0" fontId="1" fillId="0" borderId="17" xfId="0" applyFont="1" applyBorder="1"/>
    <xf numFmtId="4" fontId="1" fillId="3" borderId="2" xfId="0" applyNumberFormat="1" applyFont="1" applyFill="1" applyBorder="1" applyAlignment="1">
      <alignment horizontal="right"/>
    </xf>
    <xf numFmtId="0" fontId="1" fillId="0" borderId="18" xfId="0" applyFont="1" applyBorder="1"/>
    <xf numFmtId="0" fontId="0" fillId="0" borderId="15" xfId="0" applyBorder="1"/>
    <xf numFmtId="4" fontId="1" fillId="3" borderId="9" xfId="0" applyNumberFormat="1" applyFont="1" applyFill="1" applyBorder="1" applyAlignment="1">
      <alignment horizontal="right"/>
    </xf>
    <xf numFmtId="0" fontId="1" fillId="0" borderId="19" xfId="0" applyFont="1" applyBorder="1"/>
    <xf numFmtId="0" fontId="1" fillId="0" borderId="15" xfId="0" applyFont="1" applyBorder="1"/>
    <xf numFmtId="0" fontId="0" fillId="0" borderId="17" xfId="0" applyBorder="1"/>
    <xf numFmtId="4" fontId="1" fillId="3" borderId="16" xfId="0" applyNumberFormat="1" applyFont="1" applyFill="1" applyBorder="1" applyAlignment="1">
      <alignment horizontal="right"/>
    </xf>
    <xf numFmtId="3" fontId="0" fillId="3" borderId="6" xfId="0" applyNumberFormat="1" applyFill="1" applyBorder="1"/>
    <xf numFmtId="3" fontId="1" fillId="3" borderId="9" xfId="0" applyNumberFormat="1" applyFont="1" applyFill="1" applyBorder="1"/>
    <xf numFmtId="0" fontId="1" fillId="5" borderId="9" xfId="0" applyFont="1" applyFill="1" applyBorder="1" applyAlignment="1">
      <alignment horizontal="right"/>
    </xf>
    <xf numFmtId="4" fontId="1" fillId="4" borderId="0" xfId="0" applyNumberFormat="1" applyFont="1" applyFill="1" applyAlignment="1">
      <alignment horizontal="right"/>
    </xf>
    <xf numFmtId="4" fontId="1" fillId="2" borderId="4" xfId="0" applyNumberFormat="1" applyFont="1" applyFill="1" applyBorder="1"/>
    <xf numFmtId="4" fontId="1" fillId="4" borderId="5" xfId="0" applyNumberFormat="1" applyFont="1" applyFill="1" applyBorder="1" applyAlignment="1">
      <alignment horizontal="right"/>
    </xf>
    <xf numFmtId="4" fontId="1" fillId="3" borderId="5" xfId="0" applyNumberFormat="1" applyFont="1" applyFill="1" applyBorder="1" applyAlignment="1">
      <alignment horizontal="right"/>
    </xf>
    <xf numFmtId="4" fontId="1" fillId="3" borderId="13" xfId="0" applyNumberFormat="1" applyFont="1" applyFill="1" applyBorder="1" applyAlignment="1">
      <alignment horizontal="right"/>
    </xf>
    <xf numFmtId="4" fontId="1" fillId="3" borderId="20" xfId="0" applyNumberFormat="1" applyFont="1" applyFill="1" applyBorder="1" applyAlignment="1">
      <alignment horizontal="right"/>
    </xf>
    <xf numFmtId="4" fontId="1" fillId="3" borderId="21" xfId="0" applyNumberFormat="1" applyFont="1" applyFill="1" applyBorder="1" applyAlignment="1">
      <alignment horizontal="right"/>
    </xf>
    <xf numFmtId="0" fontId="1" fillId="5" borderId="2" xfId="0" applyFont="1" applyFill="1" applyBorder="1"/>
    <xf numFmtId="4" fontId="1" fillId="3" borderId="0" xfId="0" applyNumberFormat="1" applyFont="1" applyFill="1" applyAlignment="1">
      <alignment horizontal="right"/>
    </xf>
    <xf numFmtId="4" fontId="1" fillId="3" borderId="6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5" borderId="11" xfId="0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1" fontId="1" fillId="4" borderId="13" xfId="0" applyNumberFormat="1" applyFont="1" applyFill="1" applyBorder="1" applyAlignment="1">
      <alignment horizontal="right"/>
    </xf>
    <xf numFmtId="0" fontId="1" fillId="5" borderId="16" xfId="0" applyFont="1" applyFill="1" applyBorder="1" applyAlignment="1">
      <alignment horizontal="right"/>
    </xf>
    <xf numFmtId="3" fontId="0" fillId="5" borderId="0" xfId="0" applyNumberFormat="1" applyFill="1"/>
    <xf numFmtId="4" fontId="1" fillId="4" borderId="12" xfId="0" applyNumberFormat="1" applyFont="1" applyFill="1" applyBorder="1"/>
    <xf numFmtId="0" fontId="1" fillId="5" borderId="1" xfId="0" applyFont="1" applyFill="1" applyBorder="1"/>
    <xf numFmtId="3" fontId="1" fillId="3" borderId="18" xfId="0" applyNumberFormat="1" applyFont="1" applyFill="1" applyBorder="1"/>
    <xf numFmtId="3" fontId="1" fillId="5" borderId="18" xfId="0" applyNumberFormat="1" applyFont="1" applyFill="1" applyBorder="1"/>
    <xf numFmtId="3" fontId="1" fillId="3" borderId="5" xfId="0" applyNumberFormat="1" applyFont="1" applyFill="1" applyBorder="1"/>
    <xf numFmtId="3" fontId="1" fillId="5" borderId="11" xfId="0" applyNumberFormat="1" applyFont="1" applyFill="1" applyBorder="1"/>
    <xf numFmtId="3" fontId="1" fillId="3" borderId="19" xfId="0" applyNumberFormat="1" applyFont="1" applyFill="1" applyBorder="1"/>
    <xf numFmtId="3" fontId="1" fillId="5" borderId="9" xfId="0" applyNumberFormat="1" applyFont="1" applyFill="1" applyBorder="1"/>
    <xf numFmtId="3" fontId="1" fillId="5" borderId="14" xfId="0" applyNumberFormat="1" applyFont="1" applyFill="1" applyBorder="1"/>
    <xf numFmtId="0" fontId="1" fillId="5" borderId="13" xfId="0" applyFont="1" applyFill="1" applyBorder="1" applyAlignment="1">
      <alignment horizontal="right"/>
    </xf>
    <xf numFmtId="0" fontId="1" fillId="5" borderId="0" xfId="0" applyFont="1" applyFill="1"/>
    <xf numFmtId="4" fontId="0" fillId="3" borderId="12" xfId="0" applyNumberFormat="1" applyFill="1" applyBorder="1"/>
    <xf numFmtId="4" fontId="2" fillId="0" borderId="0" xfId="0" applyNumberFormat="1" applyFont="1"/>
    <xf numFmtId="4" fontId="1" fillId="5" borderId="17" xfId="0" applyNumberFormat="1" applyFont="1" applyFill="1" applyBorder="1"/>
    <xf numFmtId="4" fontId="1" fillId="3" borderId="8" xfId="0" applyNumberFormat="1" applyFont="1" applyFill="1" applyBorder="1"/>
    <xf numFmtId="3" fontId="1" fillId="3" borderId="22" xfId="0" applyNumberFormat="1" applyFont="1" applyFill="1" applyBorder="1"/>
    <xf numFmtId="4" fontId="1" fillId="2" borderId="11" xfId="0" applyNumberFormat="1" applyFont="1" applyFill="1" applyBorder="1"/>
    <xf numFmtId="3" fontId="1" fillId="5" borderId="7" xfId="0" applyNumberFormat="1" applyFont="1" applyFill="1" applyBorder="1"/>
    <xf numFmtId="4" fontId="0" fillId="2" borderId="23" xfId="0" applyNumberFormat="1" applyFill="1" applyBorder="1"/>
    <xf numFmtId="4" fontId="1" fillId="5" borderId="7" xfId="0" applyNumberFormat="1" applyFont="1" applyFill="1" applyBorder="1"/>
    <xf numFmtId="4" fontId="1" fillId="2" borderId="14" xfId="0" applyNumberFormat="1" applyFont="1" applyFill="1" applyBorder="1"/>
    <xf numFmtId="3" fontId="1" fillId="5" borderId="17" xfId="0" applyNumberFormat="1" applyFont="1" applyFill="1" applyBorder="1"/>
    <xf numFmtId="0" fontId="1" fillId="5" borderId="5" xfId="0" applyFont="1" applyFill="1" applyBorder="1" applyAlignment="1">
      <alignment horizontal="right"/>
    </xf>
    <xf numFmtId="4" fontId="1" fillId="3" borderId="22" xfId="0" applyNumberFormat="1" applyFont="1" applyFill="1" applyBorder="1"/>
    <xf numFmtId="0" fontId="1" fillId="0" borderId="24" xfId="0" applyFont="1" applyBorder="1"/>
    <xf numFmtId="4" fontId="1" fillId="3" borderId="15" xfId="0" applyNumberFormat="1" applyFont="1" applyFill="1" applyBorder="1"/>
    <xf numFmtId="4" fontId="1" fillId="5" borderId="4" xfId="0" applyNumberFormat="1" applyFont="1" applyFill="1" applyBorder="1"/>
    <xf numFmtId="4" fontId="1" fillId="2" borderId="25" xfId="0" applyNumberFormat="1" applyFont="1" applyFill="1" applyBorder="1" applyAlignment="1">
      <alignment horizontal="right"/>
    </xf>
    <xf numFmtId="3" fontId="1" fillId="5" borderId="5" xfId="0" applyNumberFormat="1" applyFont="1" applyFill="1" applyBorder="1"/>
    <xf numFmtId="4" fontId="1" fillId="4" borderId="26" xfId="0" applyNumberFormat="1" applyFont="1" applyFill="1" applyBorder="1" applyAlignment="1">
      <alignment horizontal="right"/>
    </xf>
    <xf numFmtId="4" fontId="1" fillId="5" borderId="8" xfId="0" applyNumberFormat="1" applyFont="1" applyFill="1" applyBorder="1"/>
    <xf numFmtId="4" fontId="1" fillId="5" borderId="15" xfId="0" applyNumberFormat="1" applyFont="1" applyFill="1" applyBorder="1"/>
    <xf numFmtId="4" fontId="1" fillId="2" borderId="23" xfId="0" applyNumberFormat="1" applyFont="1" applyFill="1" applyBorder="1"/>
    <xf numFmtId="4" fontId="1" fillId="2" borderId="23" xfId="0" applyNumberFormat="1" applyFont="1" applyFill="1" applyBorder="1" applyAlignment="1">
      <alignment horizontal="right"/>
    </xf>
    <xf numFmtId="4" fontId="1" fillId="3" borderId="27" xfId="0" applyNumberFormat="1" applyFont="1" applyFill="1" applyBorder="1"/>
    <xf numFmtId="4" fontId="1" fillId="3" borderId="7" xfId="0" applyNumberFormat="1" applyFont="1" applyFill="1" applyBorder="1"/>
    <xf numFmtId="4" fontId="1" fillId="3" borderId="12" xfId="0" applyNumberFormat="1" applyFont="1" applyFill="1" applyBorder="1" applyAlignment="1">
      <alignment horizontal="right"/>
    </xf>
    <xf numFmtId="4" fontId="1" fillId="3" borderId="9" xfId="0" applyNumberFormat="1" applyFont="1" applyFill="1" applyBorder="1"/>
    <xf numFmtId="4" fontId="1" fillId="3" borderId="28" xfId="0" applyNumberFormat="1" applyFont="1" applyFill="1" applyBorder="1" applyAlignment="1">
      <alignment horizontal="right"/>
    </xf>
    <xf numFmtId="4" fontId="1" fillId="5" borderId="3" xfId="0" applyNumberFormat="1" applyFont="1" applyFill="1" applyBorder="1"/>
    <xf numFmtId="4" fontId="1" fillId="4" borderId="17" xfId="0" applyNumberFormat="1" applyFont="1" applyFill="1" applyBorder="1"/>
    <xf numFmtId="4" fontId="1" fillId="3" borderId="18" xfId="0" applyNumberFormat="1" applyFont="1" applyFill="1" applyBorder="1"/>
    <xf numFmtId="4" fontId="1" fillId="5" borderId="19" xfId="0" applyNumberFormat="1" applyFont="1" applyFill="1" applyBorder="1"/>
    <xf numFmtId="1" fontId="1" fillId="4" borderId="28" xfId="0" applyNumberFormat="1" applyFont="1" applyFill="1" applyBorder="1" applyAlignment="1">
      <alignment horizontal="right"/>
    </xf>
    <xf numFmtId="3" fontId="0" fillId="0" borderId="0" xfId="0" applyNumberFormat="1"/>
    <xf numFmtId="4" fontId="1" fillId="3" borderId="26" xfId="0" applyNumberFormat="1" applyFont="1" applyFill="1" applyBorder="1" applyAlignment="1">
      <alignment horizontal="right"/>
    </xf>
    <xf numFmtId="3" fontId="1" fillId="5" borderId="19" xfId="0" applyNumberFormat="1" applyFont="1" applyFill="1" applyBorder="1"/>
    <xf numFmtId="4" fontId="1" fillId="4" borderId="7" xfId="0" applyNumberFormat="1" applyFont="1" applyFill="1" applyBorder="1"/>
    <xf numFmtId="166" fontId="0" fillId="0" borderId="0" xfId="1" applyNumberFormat="1" applyFont="1" applyBorder="1"/>
    <xf numFmtId="3" fontId="0" fillId="0" borderId="0" xfId="1" applyNumberFormat="1" applyFont="1" applyBorder="1"/>
    <xf numFmtId="4" fontId="1" fillId="4" borderId="29" xfId="0" applyNumberFormat="1" applyFont="1" applyFill="1" applyBorder="1"/>
    <xf numFmtId="16" fontId="1" fillId="0" borderId="13" xfId="0" applyNumberFormat="1" applyFont="1" applyBorder="1"/>
    <xf numFmtId="4" fontId="1" fillId="3" borderId="17" xfId="0" applyNumberFormat="1" applyFont="1" applyFill="1" applyBorder="1"/>
    <xf numFmtId="0" fontId="1" fillId="0" borderId="30" xfId="0" applyFont="1" applyBorder="1"/>
    <xf numFmtId="4" fontId="1" fillId="3" borderId="12" xfId="0" applyNumberFormat="1" applyFont="1" applyFill="1" applyBorder="1"/>
    <xf numFmtId="4" fontId="1" fillId="5" borderId="5" xfId="0" applyNumberFormat="1" applyFont="1" applyFill="1" applyBorder="1"/>
    <xf numFmtId="4" fontId="0" fillId="2" borderId="4" xfId="0" applyNumberFormat="1" applyFill="1" applyBorder="1"/>
    <xf numFmtId="3" fontId="1" fillId="0" borderId="24" xfId="0" applyNumberFormat="1" applyFont="1" applyBorder="1"/>
    <xf numFmtId="3" fontId="0" fillId="2" borderId="23" xfId="0" applyNumberFormat="1" applyFill="1" applyBorder="1"/>
    <xf numFmtId="3" fontId="0" fillId="3" borderId="12" xfId="0" applyNumberFormat="1" applyFill="1" applyBorder="1"/>
    <xf numFmtId="4" fontId="1" fillId="2" borderId="31" xfId="0" applyNumberFormat="1" applyFont="1" applyFill="1" applyBorder="1" applyAlignment="1">
      <alignment horizontal="right"/>
    </xf>
    <xf numFmtId="3" fontId="1" fillId="3" borderId="27" xfId="0" applyNumberFormat="1" applyFont="1" applyFill="1" applyBorder="1"/>
    <xf numFmtId="4" fontId="1" fillId="4" borderId="12" xfId="0" applyNumberFormat="1" applyFont="1" applyFill="1" applyBorder="1" applyAlignment="1">
      <alignment horizontal="right"/>
    </xf>
    <xf numFmtId="4" fontId="1" fillId="5" borderId="18" xfId="0" applyNumberFormat="1" applyFont="1" applyFill="1" applyBorder="1"/>
    <xf numFmtId="4" fontId="1" fillId="2" borderId="33" xfId="0" applyNumberFormat="1" applyFont="1" applyFill="1" applyBorder="1"/>
    <xf numFmtId="4" fontId="0" fillId="3" borderId="34" xfId="0" applyNumberFormat="1" applyFill="1" applyBorder="1"/>
    <xf numFmtId="4" fontId="1" fillId="3" borderId="29" xfId="0" applyNumberFormat="1" applyFont="1" applyFill="1" applyBorder="1"/>
    <xf numFmtId="4" fontId="1" fillId="5" borderId="11" xfId="0" applyNumberFormat="1" applyFont="1" applyFill="1" applyBorder="1"/>
    <xf numFmtId="3" fontId="1" fillId="2" borderId="33" xfId="0" applyNumberFormat="1" applyFont="1" applyFill="1" applyBorder="1"/>
    <xf numFmtId="4" fontId="1" fillId="3" borderId="20" xfId="0" applyNumberFormat="1" applyFont="1" applyFill="1" applyBorder="1"/>
    <xf numFmtId="4" fontId="1" fillId="3" borderId="35" xfId="0" applyNumberFormat="1" applyFont="1" applyFill="1" applyBorder="1"/>
    <xf numFmtId="4" fontId="1" fillId="3" borderId="34" xfId="0" applyNumberFormat="1" applyFont="1" applyFill="1" applyBorder="1"/>
    <xf numFmtId="4" fontId="1" fillId="2" borderId="36" xfId="0" applyNumberFormat="1" applyFont="1" applyFill="1" applyBorder="1"/>
    <xf numFmtId="4" fontId="1" fillId="3" borderId="5" xfId="0" applyNumberFormat="1" applyFont="1" applyFill="1" applyBorder="1"/>
    <xf numFmtId="3" fontId="0" fillId="3" borderId="34" xfId="0" applyNumberFormat="1" applyFill="1" applyBorder="1"/>
    <xf numFmtId="4" fontId="1" fillId="4" borderId="26" xfId="0" applyNumberFormat="1" applyFont="1" applyFill="1" applyBorder="1"/>
    <xf numFmtId="4" fontId="1" fillId="4" borderId="32" xfId="0" applyNumberFormat="1" applyFont="1" applyFill="1" applyBorder="1"/>
    <xf numFmtId="4" fontId="1" fillId="5" borderId="9" xfId="0" applyNumberFormat="1" applyFont="1" applyFill="1" applyBorder="1"/>
    <xf numFmtId="3" fontId="1" fillId="3" borderId="29" xfId="0" applyNumberFormat="1" applyFont="1" applyFill="1" applyBorder="1"/>
    <xf numFmtId="3" fontId="1" fillId="3" borderId="35" xfId="0" applyNumberFormat="1" applyFont="1" applyFill="1" applyBorder="1"/>
    <xf numFmtId="4" fontId="0" fillId="3" borderId="15" xfId="0" applyNumberFormat="1" applyFill="1" applyBorder="1"/>
    <xf numFmtId="4" fontId="1" fillId="2" borderId="38" xfId="0" applyNumberFormat="1" applyFont="1" applyFill="1" applyBorder="1"/>
    <xf numFmtId="4" fontId="1" fillId="5" borderId="14" xfId="0" applyNumberFormat="1" applyFont="1" applyFill="1" applyBorder="1"/>
    <xf numFmtId="3" fontId="1" fillId="0" borderId="7" xfId="1" applyNumberFormat="1" applyFont="1" applyBorder="1"/>
    <xf numFmtId="4" fontId="0" fillId="4" borderId="32" xfId="0" applyNumberFormat="1" applyFill="1" applyBorder="1"/>
    <xf numFmtId="4" fontId="1" fillId="4" borderId="19" xfId="0" applyNumberFormat="1" applyFont="1" applyFill="1" applyBorder="1"/>
    <xf numFmtId="3" fontId="1" fillId="2" borderId="38" xfId="0" applyNumberFormat="1" applyFont="1" applyFill="1" applyBorder="1"/>
    <xf numFmtId="4" fontId="1" fillId="0" borderId="24" xfId="0" applyNumberFormat="1" applyFont="1" applyBorder="1"/>
    <xf numFmtId="3" fontId="1" fillId="0" borderId="7" xfId="0" applyNumberFormat="1" applyFont="1" applyBorder="1"/>
    <xf numFmtId="3" fontId="1" fillId="3" borderId="20" xfId="0" applyNumberFormat="1" applyFont="1" applyFill="1" applyBorder="1"/>
    <xf numFmtId="3" fontId="1" fillId="2" borderId="36" xfId="0" applyNumberFormat="1" applyFont="1" applyFill="1" applyBorder="1"/>
    <xf numFmtId="4" fontId="1" fillId="4" borderId="37" xfId="0" applyNumberFormat="1" applyFont="1" applyFill="1" applyBorder="1"/>
    <xf numFmtId="4" fontId="1" fillId="4" borderId="5" xfId="0" applyNumberFormat="1" applyFont="1" applyFill="1" applyBorder="1"/>
    <xf numFmtId="3" fontId="1" fillId="3" borderId="39" xfId="0" applyNumberFormat="1" applyFont="1" applyFill="1" applyBorder="1"/>
    <xf numFmtId="3" fontId="1" fillId="3" borderId="34" xfId="0" applyNumberFormat="1" applyFont="1" applyFill="1" applyBorder="1"/>
    <xf numFmtId="4" fontId="1" fillId="3" borderId="19" xfId="0" applyNumberFormat="1" applyFont="1" applyFill="1" applyBorder="1"/>
    <xf numFmtId="3" fontId="0" fillId="3" borderId="15" xfId="0" applyNumberFormat="1" applyFill="1" applyBorder="1"/>
    <xf numFmtId="4" fontId="1" fillId="0" borderId="7" xfId="1" applyNumberFormat="1" applyFont="1" applyBorder="1"/>
    <xf numFmtId="4" fontId="1" fillId="3" borderId="39" xfId="0" applyNumberFormat="1" applyFont="1" applyFill="1" applyBorder="1"/>
    <xf numFmtId="14" fontId="6" fillId="7" borderId="0" xfId="0" applyNumberFormat="1" applyFont="1" applyFill="1" applyAlignment="1">
      <alignment horizontal="right" vertical="center"/>
    </xf>
    <xf numFmtId="0" fontId="0" fillId="0" borderId="0" xfId="0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724395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92E781-2912-4A87-A2E1-D5D6E9F9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0"/>
          <a:ext cx="920576" cy="914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742949</xdr:colOff>
      <xdr:row>0</xdr:row>
      <xdr:rowOff>0</xdr:rowOff>
    </xdr:from>
    <xdr:to>
      <xdr:col>11</xdr:col>
      <xdr:colOff>552454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44311" y="0"/>
          <a:ext cx="1427509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CD16BDF-BADE-4B35-8762-9EB5421BF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1839FE-6E66-4915-9B09-C7E379CB8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53B177-FBAD-4A92-8247-F48AE4FF1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F85F1A5-50DE-4CD2-BED3-74A0D912D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48674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1"/>
  <sheetViews>
    <sheetView topLeftCell="A3" workbookViewId="0">
      <selection activeCell="E5" sqref="E5:I5"/>
    </sheetView>
  </sheetViews>
  <sheetFormatPr baseColWidth="10" defaultColWidth="11.42578125" defaultRowHeight="15" x14ac:dyDescent="0.25"/>
  <cols>
    <col min="1" max="1" width="10.85546875" customWidth="1"/>
    <col min="2" max="2" width="40.7109375" customWidth="1"/>
    <col min="3" max="4" width="15" customWidth="1"/>
    <col min="5" max="5" width="15" style="13" customWidth="1"/>
    <col min="6" max="6" width="15.140625" style="13" customWidth="1"/>
  </cols>
  <sheetData>
    <row r="1" spans="1:9" x14ac:dyDescent="0.25">
      <c r="A1" t="s">
        <v>235</v>
      </c>
    </row>
    <row r="3" spans="1:9" ht="26.25" x14ac:dyDescent="0.4">
      <c r="A3" s="48" t="s">
        <v>158</v>
      </c>
      <c r="C3" s="45" t="s">
        <v>87</v>
      </c>
    </row>
    <row r="4" spans="1:9" ht="15.75" x14ac:dyDescent="0.25">
      <c r="C4" s="92" t="str">
        <f>CONCATENATE(B254," ",B255)</f>
        <v>November -  Desember  2025</v>
      </c>
    </row>
    <row r="5" spans="1:9" ht="15.75" x14ac:dyDescent="0.25">
      <c r="A5" t="s">
        <v>180</v>
      </c>
      <c r="E5" s="179" t="s">
        <v>236</v>
      </c>
      <c r="F5" s="180" t="s">
        <v>237</v>
      </c>
      <c r="G5" s="180" t="s">
        <v>237</v>
      </c>
      <c r="H5" s="180" t="s">
        <v>237</v>
      </c>
      <c r="I5" s="180" t="s">
        <v>237</v>
      </c>
    </row>
    <row r="6" spans="1:9" ht="15.75" thickBot="1" x14ac:dyDescent="0.3"/>
    <row r="7" spans="1:9" s="1" customFormat="1" ht="15.75" thickTop="1" x14ac:dyDescent="0.25">
      <c r="A7" s="37"/>
      <c r="B7" s="35"/>
      <c r="C7" s="89" t="s">
        <v>157</v>
      </c>
      <c r="D7" s="89" t="s">
        <v>157</v>
      </c>
      <c r="E7" s="60" t="s">
        <v>18</v>
      </c>
      <c r="F7" s="70" t="s">
        <v>18</v>
      </c>
    </row>
    <row r="8" spans="1:9" s="1" customFormat="1" ht="15.75" thickBot="1" x14ac:dyDescent="0.3">
      <c r="A8" s="24"/>
      <c r="B8" s="16"/>
      <c r="C8" s="102" t="s">
        <v>19</v>
      </c>
      <c r="D8" s="102" t="s">
        <v>181</v>
      </c>
      <c r="E8" s="56" t="s">
        <v>19</v>
      </c>
      <c r="F8" s="69" t="s">
        <v>181</v>
      </c>
    </row>
    <row r="9" spans="1:9" s="1" customFormat="1" x14ac:dyDescent="0.25">
      <c r="A9" s="7" t="s">
        <v>0</v>
      </c>
      <c r="C9" s="90"/>
      <c r="D9" s="90"/>
      <c r="E9" s="53"/>
      <c r="F9" s="73"/>
    </row>
    <row r="10" spans="1:9" x14ac:dyDescent="0.25">
      <c r="A10" s="3">
        <v>3000</v>
      </c>
      <c r="B10" t="s">
        <v>159</v>
      </c>
      <c r="C10" s="79">
        <f t="shared" ref="C10:C14" si="0">0</f>
        <v>0</v>
      </c>
      <c r="D10" s="79">
        <f t="shared" ref="D10:D12" si="1">0</f>
        <v>0</v>
      </c>
      <c r="E10" s="22">
        <f>0</f>
        <v>0</v>
      </c>
      <c r="F10" s="61">
        <f>--52000</f>
        <v>52000</v>
      </c>
    </row>
    <row r="11" spans="1:9" x14ac:dyDescent="0.25">
      <c r="A11" s="3">
        <v>3005</v>
      </c>
      <c r="B11" t="s">
        <v>168</v>
      </c>
      <c r="C11" s="79">
        <f t="shared" si="0"/>
        <v>0</v>
      </c>
      <c r="D11" s="79">
        <f t="shared" si="1"/>
        <v>0</v>
      </c>
      <c r="E11" s="22">
        <f>--50000</f>
        <v>50000</v>
      </c>
      <c r="F11" s="61">
        <f>--63428.57</f>
        <v>63428.57</v>
      </c>
    </row>
    <row r="12" spans="1:9" x14ac:dyDescent="0.25">
      <c r="A12" s="3">
        <v>3006</v>
      </c>
      <c r="B12" t="s">
        <v>23</v>
      </c>
      <c r="C12" s="79">
        <f t="shared" si="0"/>
        <v>0</v>
      </c>
      <c r="D12" s="79">
        <f t="shared" si="1"/>
        <v>0</v>
      </c>
      <c r="E12" s="22">
        <f t="shared" ref="E12:E13" si="2">0</f>
        <v>0</v>
      </c>
      <c r="F12" s="61">
        <f>--72643.2</f>
        <v>72643.199999999997</v>
      </c>
    </row>
    <row r="13" spans="1:9" x14ac:dyDescent="0.25">
      <c r="A13" s="3">
        <v>3010</v>
      </c>
      <c r="B13" t="s">
        <v>104</v>
      </c>
      <c r="C13" s="79">
        <f t="shared" si="0"/>
        <v>0</v>
      </c>
      <c r="D13" s="79">
        <f>--11200</f>
        <v>11200</v>
      </c>
      <c r="E13" s="22">
        <f t="shared" si="2"/>
        <v>0</v>
      </c>
      <c r="F13" s="61">
        <f>--11200</f>
        <v>11200</v>
      </c>
    </row>
    <row r="14" spans="1:9" x14ac:dyDescent="0.25">
      <c r="A14" s="3">
        <v>3020</v>
      </c>
      <c r="B14" t="s">
        <v>202</v>
      </c>
      <c r="C14" s="79">
        <f t="shared" si="0"/>
        <v>0</v>
      </c>
      <c r="D14" s="79">
        <f>--226000</f>
        <v>226000</v>
      </c>
      <c r="E14" s="22">
        <f>--56000</f>
        <v>56000</v>
      </c>
      <c r="F14" s="61">
        <f>--287800</f>
        <v>287800</v>
      </c>
    </row>
    <row r="15" spans="1:9" x14ac:dyDescent="0.25">
      <c r="A15" s="3">
        <v>3051</v>
      </c>
      <c r="B15" t="s">
        <v>70</v>
      </c>
      <c r="C15" s="79">
        <f>--234298.7679</f>
        <v>234298.76790000001</v>
      </c>
      <c r="D15" s="79">
        <f>--423455.3571</f>
        <v>423455.35710000002</v>
      </c>
      <c r="E15" s="22">
        <f>--848717.2933</f>
        <v>848717.29330000002</v>
      </c>
      <c r="F15" s="61">
        <f>--823241.3481</f>
        <v>823241.34809999994</v>
      </c>
    </row>
    <row r="16" spans="1:9" x14ac:dyDescent="0.25">
      <c r="A16" s="3">
        <v>3121</v>
      </c>
      <c r="B16" t="s">
        <v>160</v>
      </c>
      <c r="C16" s="79">
        <f t="shared" ref="C16:E17" si="3">0</f>
        <v>0</v>
      </c>
      <c r="D16" s="79">
        <f t="shared" si="3"/>
        <v>0</v>
      </c>
      <c r="E16" s="22">
        <f t="shared" si="3"/>
        <v>0</v>
      </c>
      <c r="F16" s="61">
        <f>--45000</f>
        <v>45000</v>
      </c>
    </row>
    <row r="17" spans="1:6" x14ac:dyDescent="0.25">
      <c r="A17" s="3">
        <v>3200</v>
      </c>
      <c r="B17" t="s">
        <v>203</v>
      </c>
      <c r="C17" s="79">
        <f t="shared" si="3"/>
        <v>0</v>
      </c>
      <c r="D17" s="79">
        <f t="shared" si="3"/>
        <v>0</v>
      </c>
      <c r="E17" s="22">
        <f t="shared" si="3"/>
        <v>0</v>
      </c>
      <c r="F17" s="61">
        <f>--10393</f>
        <v>10393</v>
      </c>
    </row>
    <row r="18" spans="1:6" x14ac:dyDescent="0.25">
      <c r="A18" s="3">
        <v>3201</v>
      </c>
      <c r="B18" t="s">
        <v>89</v>
      </c>
      <c r="C18" s="79">
        <f>--9920</f>
        <v>9920</v>
      </c>
      <c r="D18" s="79">
        <f>--22395</f>
        <v>22395</v>
      </c>
      <c r="E18" s="22">
        <f>--136210</f>
        <v>136210</v>
      </c>
      <c r="F18" s="61">
        <f>--124031.41</f>
        <v>124031.41</v>
      </c>
    </row>
    <row r="19" spans="1:6" x14ac:dyDescent="0.25">
      <c r="A19" s="3">
        <v>3210</v>
      </c>
      <c r="B19" t="s">
        <v>145</v>
      </c>
      <c r="C19" s="79">
        <f t="shared" ref="C19:C22" si="4">0</f>
        <v>0</v>
      </c>
      <c r="D19" s="79">
        <f t="shared" ref="D19:E19" si="5">0</f>
        <v>0</v>
      </c>
      <c r="E19" s="22">
        <f t="shared" si="5"/>
        <v>0</v>
      </c>
      <c r="F19" s="61">
        <f>--22932</f>
        <v>22932</v>
      </c>
    </row>
    <row r="20" spans="1:6" x14ac:dyDescent="0.25">
      <c r="A20" s="3">
        <v>3390</v>
      </c>
      <c r="B20" t="s">
        <v>71</v>
      </c>
      <c r="C20" s="79">
        <f t="shared" si="4"/>
        <v>0</v>
      </c>
      <c r="D20" s="79">
        <f>--15300</f>
        <v>15300</v>
      </c>
      <c r="E20" s="22">
        <f>-15300</f>
        <v>-15300</v>
      </c>
      <c r="F20" s="61">
        <f>--15300</f>
        <v>15300</v>
      </c>
    </row>
    <row r="21" spans="1:6" x14ac:dyDescent="0.25">
      <c r="A21" s="3">
        <v>3400</v>
      </c>
      <c r="B21" t="s">
        <v>6</v>
      </c>
      <c r="C21" s="79">
        <f t="shared" si="4"/>
        <v>0</v>
      </c>
      <c r="D21" s="79">
        <f t="shared" ref="D21:D22" si="6">0</f>
        <v>0</v>
      </c>
      <c r="E21" s="22">
        <f>--230704</f>
        <v>230704</v>
      </c>
      <c r="F21" s="61">
        <f>--205111</f>
        <v>205111</v>
      </c>
    </row>
    <row r="22" spans="1:6" x14ac:dyDescent="0.25">
      <c r="A22" s="3">
        <v>3401</v>
      </c>
      <c r="B22" t="s">
        <v>37</v>
      </c>
      <c r="C22" s="79">
        <f t="shared" si="4"/>
        <v>0</v>
      </c>
      <c r="D22" s="79">
        <f t="shared" si="6"/>
        <v>0</v>
      </c>
      <c r="E22" s="22">
        <f>--135146</f>
        <v>135146</v>
      </c>
      <c r="F22" s="61">
        <f>--129948</f>
        <v>129948</v>
      </c>
    </row>
    <row r="23" spans="1:6" x14ac:dyDescent="0.25">
      <c r="A23" s="3">
        <v>3405</v>
      </c>
      <c r="B23" t="s">
        <v>161</v>
      </c>
      <c r="C23" s="79">
        <f>--199000</f>
        <v>199000</v>
      </c>
      <c r="D23" s="79">
        <f>--70250</f>
        <v>70250</v>
      </c>
      <c r="E23" s="22">
        <f>--803604</f>
        <v>803604</v>
      </c>
      <c r="F23" s="61">
        <f>--295250</f>
        <v>295250</v>
      </c>
    </row>
    <row r="24" spans="1:6" x14ac:dyDescent="0.25">
      <c r="A24" s="3">
        <v>3406</v>
      </c>
      <c r="B24" t="s">
        <v>54</v>
      </c>
      <c r="C24" s="79">
        <f t="shared" ref="C24:C25" si="7">0</f>
        <v>0</v>
      </c>
      <c r="D24" s="79">
        <f>--6000</f>
        <v>6000</v>
      </c>
      <c r="E24" s="22">
        <f>--36000</f>
        <v>36000</v>
      </c>
      <c r="F24" s="61">
        <f>--6000</f>
        <v>6000</v>
      </c>
    </row>
    <row r="25" spans="1:6" x14ac:dyDescent="0.25">
      <c r="A25" s="3">
        <v>3807</v>
      </c>
      <c r="B25" t="s">
        <v>218</v>
      </c>
      <c r="C25" s="79">
        <f t="shared" si="7"/>
        <v>0</v>
      </c>
      <c r="D25" s="79">
        <f t="shared" ref="D25:D33" si="8">0</f>
        <v>0</v>
      </c>
      <c r="E25" s="22">
        <f>--16000</f>
        <v>16000</v>
      </c>
      <c r="F25" s="61">
        <f>0</f>
        <v>0</v>
      </c>
    </row>
    <row r="26" spans="1:6" x14ac:dyDescent="0.25">
      <c r="A26" s="3">
        <v>3920</v>
      </c>
      <c r="B26" t="s">
        <v>38</v>
      </c>
      <c r="C26" s="79">
        <f>--1061.11</f>
        <v>1061.1099999999999</v>
      </c>
      <c r="D26" s="79">
        <f t="shared" si="8"/>
        <v>0</v>
      </c>
      <c r="E26" s="22">
        <f>--79818.61</f>
        <v>79818.61</v>
      </c>
      <c r="F26" s="61">
        <f>--77589.34</f>
        <v>77589.34</v>
      </c>
    </row>
    <row r="27" spans="1:6" x14ac:dyDescent="0.25">
      <c r="A27" s="3">
        <v>3921</v>
      </c>
      <c r="B27" t="s">
        <v>24</v>
      </c>
      <c r="C27" s="79">
        <f>0</f>
        <v>0</v>
      </c>
      <c r="D27" s="79">
        <f t="shared" si="8"/>
        <v>0</v>
      </c>
      <c r="E27" s="22">
        <f>--49935.01</f>
        <v>49935.01</v>
      </c>
      <c r="F27" s="61">
        <f>--51914.53</f>
        <v>51914.53</v>
      </c>
    </row>
    <row r="28" spans="1:6" x14ac:dyDescent="0.25">
      <c r="A28" s="3">
        <v>3922</v>
      </c>
      <c r="B28" t="s">
        <v>55</v>
      </c>
      <c r="C28" s="79">
        <f>--13889</f>
        <v>13889</v>
      </c>
      <c r="D28" s="79">
        <f t="shared" si="8"/>
        <v>0</v>
      </c>
      <c r="E28" s="22">
        <f>--48120</f>
        <v>48120</v>
      </c>
      <c r="F28" s="61">
        <f>--27240</f>
        <v>27240</v>
      </c>
    </row>
    <row r="29" spans="1:6" x14ac:dyDescent="0.25">
      <c r="A29" s="3">
        <v>3930</v>
      </c>
      <c r="B29" t="s">
        <v>56</v>
      </c>
      <c r="C29" s="79">
        <f>--932.32</f>
        <v>932.32</v>
      </c>
      <c r="D29" s="79">
        <f t="shared" si="8"/>
        <v>0</v>
      </c>
      <c r="E29" s="22">
        <f>--230272.32</f>
        <v>230272.32</v>
      </c>
      <c r="F29" s="61">
        <f>--163170.9</f>
        <v>163170.9</v>
      </c>
    </row>
    <row r="30" spans="1:6" x14ac:dyDescent="0.25">
      <c r="A30" s="3">
        <v>3932</v>
      </c>
      <c r="B30" t="s">
        <v>204</v>
      </c>
      <c r="C30" s="79">
        <f t="shared" ref="C30:C32" si="9">0</f>
        <v>0</v>
      </c>
      <c r="D30" s="79">
        <f t="shared" si="8"/>
        <v>0</v>
      </c>
      <c r="E30" s="22">
        <f>--46925</f>
        <v>46925</v>
      </c>
      <c r="F30" s="61">
        <f>0</f>
        <v>0</v>
      </c>
    </row>
    <row r="31" spans="1:6" x14ac:dyDescent="0.25">
      <c r="A31" s="3">
        <v>3934</v>
      </c>
      <c r="B31" t="s">
        <v>146</v>
      </c>
      <c r="C31" s="79">
        <f t="shared" si="9"/>
        <v>0</v>
      </c>
      <c r="D31" s="79">
        <f t="shared" si="8"/>
        <v>0</v>
      </c>
      <c r="E31" s="22">
        <f>--235638.26</f>
        <v>235638.26</v>
      </c>
      <c r="F31" s="61">
        <f>--197690.27</f>
        <v>197690.27</v>
      </c>
    </row>
    <row r="32" spans="1:6" x14ac:dyDescent="0.25">
      <c r="A32" s="3">
        <v>3960</v>
      </c>
      <c r="B32" t="s">
        <v>72</v>
      </c>
      <c r="C32" s="79">
        <f t="shared" si="9"/>
        <v>0</v>
      </c>
      <c r="D32" s="79">
        <f t="shared" si="8"/>
        <v>0</v>
      </c>
      <c r="E32" s="22">
        <f>0</f>
        <v>0</v>
      </c>
      <c r="F32" s="61">
        <f>--1200</f>
        <v>1200</v>
      </c>
    </row>
    <row r="33" spans="1:6" x14ac:dyDescent="0.25">
      <c r="A33" s="3">
        <v>3962</v>
      </c>
      <c r="B33" t="s">
        <v>226</v>
      </c>
      <c r="C33" s="79">
        <f>-67673.34</f>
        <v>-67673.34</v>
      </c>
      <c r="D33" s="79">
        <f t="shared" si="8"/>
        <v>0</v>
      </c>
      <c r="E33" s="22">
        <f>--80076.66</f>
        <v>80076.66</v>
      </c>
      <c r="F33" s="61">
        <f>--147415</f>
        <v>147415</v>
      </c>
    </row>
    <row r="34" spans="1:6" x14ac:dyDescent="0.25">
      <c r="A34" s="3">
        <v>3963</v>
      </c>
      <c r="B34" t="s">
        <v>25</v>
      </c>
      <c r="C34" s="79">
        <f>0</f>
        <v>0</v>
      </c>
      <c r="D34" s="79">
        <f>--6571.95</f>
        <v>6571.95</v>
      </c>
      <c r="E34" s="22">
        <f>-4561.3</f>
        <v>-4561.3</v>
      </c>
      <c r="F34" s="61">
        <f>--8651.55</f>
        <v>8651.5499999999993</v>
      </c>
    </row>
    <row r="35" spans="1:6" x14ac:dyDescent="0.25">
      <c r="A35" s="3">
        <v>3991</v>
      </c>
      <c r="B35" t="s">
        <v>26</v>
      </c>
      <c r="C35" s="79">
        <f>--185000</f>
        <v>185000</v>
      </c>
      <c r="D35" s="79">
        <f>--125000</f>
        <v>125000</v>
      </c>
      <c r="E35" s="22">
        <f>--185000</f>
        <v>185000</v>
      </c>
      <c r="F35" s="61">
        <f>--125000</f>
        <v>125000</v>
      </c>
    </row>
    <row r="36" spans="1:6" x14ac:dyDescent="0.25">
      <c r="A36" s="3">
        <v>3992</v>
      </c>
      <c r="B36" t="s">
        <v>147</v>
      </c>
      <c r="C36" s="79">
        <f>--202126</f>
        <v>202126</v>
      </c>
      <c r="D36" s="79">
        <f>--227942</f>
        <v>227942</v>
      </c>
      <c r="E36" s="22">
        <f>--202126</f>
        <v>202126</v>
      </c>
      <c r="F36" s="61">
        <f>--227942</f>
        <v>227942</v>
      </c>
    </row>
    <row r="37" spans="1:6" ht="15.75" thickBot="1" x14ac:dyDescent="0.3">
      <c r="A37" s="3">
        <v>3995</v>
      </c>
      <c r="B37" t="s">
        <v>227</v>
      </c>
      <c r="C37" s="79">
        <f t="shared" ref="C37:D37" si="10">0</f>
        <v>0</v>
      </c>
      <c r="D37" s="79">
        <f t="shared" si="10"/>
        <v>0</v>
      </c>
      <c r="E37" s="22">
        <f>--77852</f>
        <v>77852</v>
      </c>
      <c r="F37" s="61">
        <f>0</f>
        <v>0</v>
      </c>
    </row>
    <row r="38" spans="1:6" s="1" customFormat="1" ht="15.75" thickBot="1" x14ac:dyDescent="0.3">
      <c r="A38" s="23" t="s">
        <v>117</v>
      </c>
      <c r="B38" s="18"/>
      <c r="C38" s="97">
        <f t="shared" ref="C38:F38" si="11">SUM(C10:C37)</f>
        <v>778553.85789999994</v>
      </c>
      <c r="D38" s="97">
        <f t="shared" si="11"/>
        <v>1134114.3070999999</v>
      </c>
      <c r="E38" s="34">
        <f t="shared" si="11"/>
        <v>3528283.8532999996</v>
      </c>
      <c r="F38" s="95">
        <f t="shared" si="11"/>
        <v>3192092.1180999991</v>
      </c>
    </row>
    <row r="39" spans="1:6" x14ac:dyDescent="0.25">
      <c r="A39" s="3"/>
      <c r="C39" s="12"/>
      <c r="D39" s="12"/>
      <c r="E39" s="5"/>
      <c r="F39" s="17"/>
    </row>
    <row r="40" spans="1:6" s="1" customFormat="1" x14ac:dyDescent="0.25">
      <c r="A40" s="7" t="s">
        <v>215</v>
      </c>
      <c r="C40" s="33"/>
      <c r="D40" s="33"/>
      <c r="E40" s="15"/>
      <c r="F40" s="42"/>
    </row>
    <row r="41" spans="1:6" x14ac:dyDescent="0.25">
      <c r="A41" s="3">
        <v>4160</v>
      </c>
      <c r="B41" t="s">
        <v>73</v>
      </c>
      <c r="C41" s="79"/>
      <c r="D41" s="79"/>
      <c r="E41" s="22"/>
      <c r="F41" s="61">
        <v>450</v>
      </c>
    </row>
    <row r="42" spans="1:6" x14ac:dyDescent="0.25">
      <c r="A42" s="3">
        <v>4200</v>
      </c>
      <c r="B42" t="s">
        <v>119</v>
      </c>
      <c r="C42" s="79">
        <v>11600</v>
      </c>
      <c r="D42" s="79">
        <v>103100</v>
      </c>
      <c r="E42" s="22">
        <v>-17170.939999999999</v>
      </c>
      <c r="F42" s="61">
        <v>133183.75</v>
      </c>
    </row>
    <row r="43" spans="1:6" x14ac:dyDescent="0.25">
      <c r="A43" s="3">
        <v>4201</v>
      </c>
      <c r="B43" t="s">
        <v>120</v>
      </c>
      <c r="C43" s="79">
        <v>193441.6</v>
      </c>
      <c r="D43" s="79">
        <v>5500</v>
      </c>
      <c r="E43" s="22">
        <v>410806.6</v>
      </c>
      <c r="F43" s="61">
        <v>17400</v>
      </c>
    </row>
    <row r="44" spans="1:6" x14ac:dyDescent="0.25">
      <c r="A44" s="3">
        <v>4206</v>
      </c>
      <c r="B44" t="s">
        <v>188</v>
      </c>
      <c r="C44" s="79"/>
      <c r="D44" s="79"/>
      <c r="E44" s="22">
        <v>41499.089999999997</v>
      </c>
      <c r="F44" s="61">
        <v>51559.68</v>
      </c>
    </row>
    <row r="45" spans="1:6" x14ac:dyDescent="0.25">
      <c r="A45" s="3">
        <v>4207</v>
      </c>
      <c r="B45" t="s">
        <v>132</v>
      </c>
      <c r="C45" s="79">
        <v>1500</v>
      </c>
      <c r="D45" s="79"/>
      <c r="E45" s="22">
        <v>1500</v>
      </c>
      <c r="F45" s="61"/>
    </row>
    <row r="46" spans="1:6" x14ac:dyDescent="0.25">
      <c r="A46" s="3">
        <v>4208</v>
      </c>
      <c r="B46" t="s">
        <v>7</v>
      </c>
      <c r="C46" s="79"/>
      <c r="D46" s="79"/>
      <c r="E46" s="22">
        <v>2194</v>
      </c>
      <c r="F46" s="61">
        <v>10000</v>
      </c>
    </row>
    <row r="47" spans="1:6" x14ac:dyDescent="0.25">
      <c r="A47" s="3">
        <v>4210</v>
      </c>
      <c r="B47" t="s">
        <v>105</v>
      </c>
      <c r="C47" s="79">
        <v>-8490</v>
      </c>
      <c r="D47" s="79">
        <v>62955.25</v>
      </c>
      <c r="E47" s="22">
        <v>186267.06</v>
      </c>
      <c r="F47" s="61">
        <v>156285.25</v>
      </c>
    </row>
    <row r="48" spans="1:6" x14ac:dyDescent="0.25">
      <c r="A48" s="3">
        <v>4211</v>
      </c>
      <c r="B48" t="s">
        <v>39</v>
      </c>
      <c r="C48" s="79"/>
      <c r="D48" s="79">
        <v>26390</v>
      </c>
      <c r="E48" s="22">
        <v>38786</v>
      </c>
      <c r="F48" s="61">
        <v>46704.25</v>
      </c>
    </row>
    <row r="49" spans="1:6" x14ac:dyDescent="0.25">
      <c r="A49" s="3">
        <v>4212</v>
      </c>
      <c r="B49" t="s">
        <v>146</v>
      </c>
      <c r="C49" s="79">
        <v>-30853.88</v>
      </c>
      <c r="D49" s="79">
        <v>3338.49</v>
      </c>
      <c r="E49" s="22">
        <v>117248.71</v>
      </c>
      <c r="F49" s="61">
        <v>176805.32</v>
      </c>
    </row>
    <row r="50" spans="1:6" x14ac:dyDescent="0.25">
      <c r="A50" s="3">
        <v>4213</v>
      </c>
      <c r="B50" t="s">
        <v>219</v>
      </c>
      <c r="C50" s="79">
        <v>39079.86</v>
      </c>
      <c r="D50" s="79">
        <v>52303.32</v>
      </c>
      <c r="E50" s="22">
        <v>235298.86</v>
      </c>
      <c r="F50" s="61">
        <v>110546.32</v>
      </c>
    </row>
    <row r="51" spans="1:6" x14ac:dyDescent="0.25">
      <c r="A51" s="3">
        <v>4214</v>
      </c>
      <c r="B51" t="s">
        <v>162</v>
      </c>
      <c r="C51" s="79"/>
      <c r="D51" s="79">
        <v>877.81</v>
      </c>
      <c r="E51" s="22">
        <v>1250</v>
      </c>
      <c r="F51" s="61">
        <v>7175.81</v>
      </c>
    </row>
    <row r="52" spans="1:6" x14ac:dyDescent="0.25">
      <c r="A52" s="3">
        <v>4215</v>
      </c>
      <c r="B52" t="s">
        <v>189</v>
      </c>
      <c r="C52" s="79">
        <v>-43713</v>
      </c>
      <c r="D52" s="79">
        <v>60840</v>
      </c>
      <c r="E52" s="22">
        <v>23027.01</v>
      </c>
      <c r="F52" s="61">
        <v>103090</v>
      </c>
    </row>
    <row r="53" spans="1:6" x14ac:dyDescent="0.25">
      <c r="A53" s="3">
        <v>4216</v>
      </c>
      <c r="B53" t="s">
        <v>205</v>
      </c>
      <c r="C53" s="79"/>
      <c r="D53" s="79">
        <v>1769</v>
      </c>
      <c r="E53" s="22">
        <v>6284.14</v>
      </c>
      <c r="F53" s="61">
        <v>13455.08</v>
      </c>
    </row>
    <row r="54" spans="1:6" x14ac:dyDescent="0.25">
      <c r="A54" s="3">
        <v>4218</v>
      </c>
      <c r="B54" t="s">
        <v>169</v>
      </c>
      <c r="C54" s="79">
        <v>1033.07</v>
      </c>
      <c r="D54" s="79"/>
      <c r="E54" s="22">
        <v>18850.88</v>
      </c>
      <c r="F54" s="61">
        <v>-3552.2</v>
      </c>
    </row>
    <row r="55" spans="1:6" x14ac:dyDescent="0.25">
      <c r="A55" s="3">
        <v>4220</v>
      </c>
      <c r="B55" t="s">
        <v>57</v>
      </c>
      <c r="C55" s="79"/>
      <c r="D55" s="79"/>
      <c r="E55" s="22">
        <v>54600</v>
      </c>
      <c r="F55" s="61">
        <v>25000</v>
      </c>
    </row>
    <row r="56" spans="1:6" x14ac:dyDescent="0.25">
      <c r="A56" s="3">
        <v>4221</v>
      </c>
      <c r="B56" t="s">
        <v>228</v>
      </c>
      <c r="C56" s="79"/>
      <c r="D56" s="79"/>
      <c r="E56" s="22">
        <v>547.79</v>
      </c>
      <c r="F56" s="61">
        <v>4948.3599999999997</v>
      </c>
    </row>
    <row r="57" spans="1:6" x14ac:dyDescent="0.25">
      <c r="A57" s="3">
        <v>4300</v>
      </c>
      <c r="B57" t="s">
        <v>190</v>
      </c>
      <c r="C57" s="79">
        <v>1780.06</v>
      </c>
      <c r="D57" s="79">
        <v>400</v>
      </c>
      <c r="E57" s="22">
        <v>1780.06</v>
      </c>
      <c r="F57" s="61">
        <v>442.9</v>
      </c>
    </row>
    <row r="58" spans="1:6" x14ac:dyDescent="0.25">
      <c r="A58" s="3">
        <v>4301</v>
      </c>
      <c r="B58" t="s">
        <v>90</v>
      </c>
      <c r="C58" s="79"/>
      <c r="D58" s="79"/>
      <c r="E58" s="22"/>
      <c r="F58" s="61">
        <v>33.008000000000003</v>
      </c>
    </row>
    <row r="59" spans="1:6" x14ac:dyDescent="0.25">
      <c r="A59" s="3">
        <v>4310</v>
      </c>
      <c r="B59" t="s">
        <v>58</v>
      </c>
      <c r="C59" s="79">
        <v>12524.19</v>
      </c>
      <c r="D59" s="79">
        <v>10472.42</v>
      </c>
      <c r="E59" s="22">
        <v>76232.03</v>
      </c>
      <c r="F59" s="61">
        <v>52218.25</v>
      </c>
    </row>
    <row r="60" spans="1:6" x14ac:dyDescent="0.25">
      <c r="A60" s="3">
        <v>4380</v>
      </c>
      <c r="B60" t="s">
        <v>121</v>
      </c>
      <c r="C60" s="79"/>
      <c r="D60" s="79">
        <v>155552</v>
      </c>
      <c r="E60" s="22"/>
      <c r="F60" s="61">
        <v>155552</v>
      </c>
    </row>
    <row r="61" spans="1:6" x14ac:dyDescent="0.25">
      <c r="A61" s="3">
        <v>4381</v>
      </c>
      <c r="B61" t="s">
        <v>106</v>
      </c>
      <c r="C61" s="79"/>
      <c r="D61" s="79">
        <v>-155552</v>
      </c>
      <c r="E61" s="22"/>
      <c r="F61" s="61">
        <v>-155552</v>
      </c>
    </row>
    <row r="62" spans="1:6" x14ac:dyDescent="0.25">
      <c r="A62" s="3">
        <v>4400</v>
      </c>
      <c r="B62" t="s">
        <v>74</v>
      </c>
      <c r="C62" s="79"/>
      <c r="D62" s="79"/>
      <c r="E62" s="22">
        <v>239.6</v>
      </c>
      <c r="F62" s="61">
        <v>1500.56</v>
      </c>
    </row>
    <row r="63" spans="1:6" x14ac:dyDescent="0.25">
      <c r="A63" s="3">
        <v>4415</v>
      </c>
      <c r="B63" t="s">
        <v>107</v>
      </c>
      <c r="C63" s="79">
        <v>1595</v>
      </c>
      <c r="D63" s="79"/>
      <c r="E63" s="22">
        <v>4497.08</v>
      </c>
      <c r="F63" s="61">
        <v>3921</v>
      </c>
    </row>
    <row r="64" spans="1:6" x14ac:dyDescent="0.25">
      <c r="A64" s="3">
        <v>5000</v>
      </c>
      <c r="B64" t="s">
        <v>191</v>
      </c>
      <c r="C64" s="79"/>
      <c r="D64" s="79"/>
      <c r="E64" s="22">
        <v>156439.51999999999</v>
      </c>
      <c r="F64" s="61">
        <v>208818.75</v>
      </c>
    </row>
    <row r="65" spans="1:6" x14ac:dyDescent="0.25">
      <c r="A65" s="3">
        <v>5092</v>
      </c>
      <c r="B65" t="s">
        <v>192</v>
      </c>
      <c r="C65" s="79"/>
      <c r="D65" s="79"/>
      <c r="E65" s="22">
        <v>16569.21</v>
      </c>
      <c r="F65" s="61">
        <v>22484.59</v>
      </c>
    </row>
    <row r="66" spans="1:6" x14ac:dyDescent="0.25">
      <c r="A66" s="3">
        <v>6010</v>
      </c>
      <c r="B66" t="s">
        <v>148</v>
      </c>
      <c r="C66" s="79">
        <v>7268.58</v>
      </c>
      <c r="D66" s="79">
        <v>21805.74</v>
      </c>
      <c r="E66" s="22">
        <v>43611.48</v>
      </c>
      <c r="F66" s="61">
        <v>43611.48</v>
      </c>
    </row>
    <row r="67" spans="1:6" x14ac:dyDescent="0.25">
      <c r="A67" s="3">
        <v>6320</v>
      </c>
      <c r="B67" t="s">
        <v>75</v>
      </c>
      <c r="C67" s="79"/>
      <c r="D67" s="79"/>
      <c r="E67" s="22"/>
      <c r="F67" s="61">
        <v>3652</v>
      </c>
    </row>
    <row r="68" spans="1:6" x14ac:dyDescent="0.25">
      <c r="A68" s="3">
        <v>6340</v>
      </c>
      <c r="B68" t="s">
        <v>40</v>
      </c>
      <c r="C68" s="79">
        <v>7800.72</v>
      </c>
      <c r="D68" s="79">
        <v>6669.39</v>
      </c>
      <c r="E68" s="22">
        <v>43786.41</v>
      </c>
      <c r="F68" s="61">
        <v>36896.35</v>
      </c>
    </row>
    <row r="69" spans="1:6" x14ac:dyDescent="0.25">
      <c r="A69" s="3">
        <v>6341</v>
      </c>
      <c r="B69" t="s">
        <v>8</v>
      </c>
      <c r="C69" s="79">
        <v>11522.791999999999</v>
      </c>
      <c r="D69" s="79">
        <v>13603.984</v>
      </c>
      <c r="E69" s="22">
        <v>102573.88800000001</v>
      </c>
      <c r="F69" s="61">
        <v>96384.808000000005</v>
      </c>
    </row>
    <row r="70" spans="1:6" x14ac:dyDescent="0.25">
      <c r="A70" s="3">
        <v>6420</v>
      </c>
      <c r="B70" t="s">
        <v>170</v>
      </c>
      <c r="C70" s="79">
        <v>1098</v>
      </c>
      <c r="D70" s="79"/>
      <c r="E70" s="22">
        <v>8683.2000000000007</v>
      </c>
      <c r="F70" s="61"/>
    </row>
    <row r="71" spans="1:6" x14ac:dyDescent="0.25">
      <c r="A71" s="3">
        <v>6540</v>
      </c>
      <c r="B71" t="s">
        <v>76</v>
      </c>
      <c r="C71" s="79"/>
      <c r="D71" s="79"/>
      <c r="E71" s="22"/>
      <c r="F71" s="61">
        <v>0</v>
      </c>
    </row>
    <row r="72" spans="1:6" x14ac:dyDescent="0.25">
      <c r="A72" s="3">
        <v>6545</v>
      </c>
      <c r="B72" t="s">
        <v>77</v>
      </c>
      <c r="C72" s="79"/>
      <c r="D72" s="79"/>
      <c r="E72" s="22">
        <v>999</v>
      </c>
      <c r="F72" s="61"/>
    </row>
    <row r="73" spans="1:6" x14ac:dyDescent="0.25">
      <c r="A73" s="3">
        <v>6550</v>
      </c>
      <c r="B73" t="s">
        <v>108</v>
      </c>
      <c r="C73" s="79"/>
      <c r="D73" s="79"/>
      <c r="E73" s="22">
        <v>151.19999999999999</v>
      </c>
      <c r="F73" s="61"/>
    </row>
    <row r="74" spans="1:6" x14ac:dyDescent="0.25">
      <c r="A74" s="3">
        <v>6551</v>
      </c>
      <c r="B74" t="s">
        <v>149</v>
      </c>
      <c r="C74" s="79">
        <v>5791.2</v>
      </c>
      <c r="D74" s="79"/>
      <c r="E74" s="22">
        <v>5791.2</v>
      </c>
      <c r="F74" s="61"/>
    </row>
    <row r="75" spans="1:6" x14ac:dyDescent="0.25">
      <c r="A75" s="3">
        <v>6553</v>
      </c>
      <c r="B75" t="s">
        <v>91</v>
      </c>
      <c r="C75" s="79">
        <v>6543.52</v>
      </c>
      <c r="D75" s="79">
        <v>752.4</v>
      </c>
      <c r="E75" s="22">
        <v>18309.79</v>
      </c>
      <c r="F75" s="61">
        <v>21106.3</v>
      </c>
    </row>
    <row r="76" spans="1:6" x14ac:dyDescent="0.25">
      <c r="A76" s="3">
        <v>6600</v>
      </c>
      <c r="B76" t="s">
        <v>122</v>
      </c>
      <c r="C76" s="79">
        <v>6287.0640000000003</v>
      </c>
      <c r="D76" s="79">
        <v>206361.432</v>
      </c>
      <c r="E76" s="22">
        <v>9822.0239999999994</v>
      </c>
      <c r="F76" s="61">
        <v>207919.64799999999</v>
      </c>
    </row>
    <row r="77" spans="1:6" x14ac:dyDescent="0.25">
      <c r="A77" s="3">
        <v>6610</v>
      </c>
      <c r="B77" t="s">
        <v>229</v>
      </c>
      <c r="C77" s="79">
        <v>19352.099999999999</v>
      </c>
      <c r="D77" s="79">
        <v>2480.8000000000002</v>
      </c>
      <c r="E77" s="22">
        <v>98686.274000000005</v>
      </c>
      <c r="F77" s="61">
        <v>18361.407999999999</v>
      </c>
    </row>
    <row r="78" spans="1:6" x14ac:dyDescent="0.25">
      <c r="A78" s="3">
        <v>6640</v>
      </c>
      <c r="B78" t="s">
        <v>230</v>
      </c>
      <c r="C78" s="79">
        <v>19456.024000000001</v>
      </c>
      <c r="D78" s="79">
        <v>365455.48800000001</v>
      </c>
      <c r="E78" s="22">
        <v>186081.80799999999</v>
      </c>
      <c r="F78" s="61">
        <v>436113.93199999997</v>
      </c>
    </row>
    <row r="79" spans="1:6" x14ac:dyDescent="0.25">
      <c r="A79" s="3">
        <v>6641</v>
      </c>
      <c r="B79" t="s">
        <v>78</v>
      </c>
      <c r="C79" s="79"/>
      <c r="D79" s="79"/>
      <c r="E79" s="22"/>
      <c r="F79" s="61">
        <v>4123.2</v>
      </c>
    </row>
    <row r="80" spans="1:6" x14ac:dyDescent="0.25">
      <c r="A80" s="3">
        <v>6642</v>
      </c>
      <c r="B80" t="s">
        <v>231</v>
      </c>
      <c r="C80" s="79">
        <v>1342.64</v>
      </c>
      <c r="D80" s="79"/>
      <c r="E80" s="22">
        <v>7196.24</v>
      </c>
      <c r="F80" s="61">
        <v>1228</v>
      </c>
    </row>
    <row r="81" spans="1:6" x14ac:dyDescent="0.25">
      <c r="A81" s="3">
        <v>6645</v>
      </c>
      <c r="B81" t="s">
        <v>193</v>
      </c>
      <c r="C81" s="79">
        <v>26399.464</v>
      </c>
      <c r="D81" s="79">
        <v>26606.655999999999</v>
      </c>
      <c r="E81" s="22">
        <v>56095.023999999998</v>
      </c>
      <c r="F81" s="61">
        <v>72110.656000000003</v>
      </c>
    </row>
    <row r="82" spans="1:6" x14ac:dyDescent="0.25">
      <c r="A82" s="3">
        <v>6660</v>
      </c>
      <c r="B82" t="s">
        <v>27</v>
      </c>
      <c r="C82" s="79">
        <v>68189.718599999993</v>
      </c>
      <c r="D82" s="79">
        <v>13475.6</v>
      </c>
      <c r="E82" s="22">
        <v>305043.07620000001</v>
      </c>
      <c r="F82" s="61">
        <v>204149.16800000001</v>
      </c>
    </row>
    <row r="83" spans="1:6" x14ac:dyDescent="0.25">
      <c r="A83" s="3">
        <v>6680</v>
      </c>
      <c r="B83" t="s">
        <v>194</v>
      </c>
      <c r="C83" s="79">
        <v>14816.384</v>
      </c>
      <c r="D83" s="79">
        <v>10115.608</v>
      </c>
      <c r="E83" s="22">
        <v>68560.826000000001</v>
      </c>
      <c r="F83" s="61">
        <v>33367.858</v>
      </c>
    </row>
    <row r="84" spans="1:6" x14ac:dyDescent="0.25">
      <c r="A84" s="3">
        <v>6690</v>
      </c>
      <c r="B84" t="s">
        <v>59</v>
      </c>
      <c r="C84" s="79">
        <v>145236.74799999999</v>
      </c>
      <c r="D84" s="79"/>
      <c r="E84" s="22">
        <v>260114.49799999999</v>
      </c>
      <c r="F84" s="61">
        <v>13486.2</v>
      </c>
    </row>
    <row r="85" spans="1:6" x14ac:dyDescent="0.25">
      <c r="A85" s="3">
        <v>6695</v>
      </c>
      <c r="B85" t="s">
        <v>220</v>
      </c>
      <c r="C85" s="79">
        <v>20027.5</v>
      </c>
      <c r="D85" s="79"/>
      <c r="E85" s="22">
        <v>20027.5</v>
      </c>
      <c r="F85" s="61">
        <v>0</v>
      </c>
    </row>
    <row r="86" spans="1:6" x14ac:dyDescent="0.25">
      <c r="A86" s="3">
        <v>6696</v>
      </c>
      <c r="B86" t="s">
        <v>9</v>
      </c>
      <c r="C86" s="79"/>
      <c r="D86" s="79"/>
      <c r="E86" s="22"/>
      <c r="F86" s="61">
        <v>13213.44</v>
      </c>
    </row>
    <row r="87" spans="1:6" x14ac:dyDescent="0.25">
      <c r="A87" s="3">
        <v>6705</v>
      </c>
      <c r="B87" t="s">
        <v>150</v>
      </c>
      <c r="C87" s="79">
        <v>29182.38</v>
      </c>
      <c r="D87" s="79">
        <v>2702.48</v>
      </c>
      <c r="E87" s="22">
        <v>192229.12</v>
      </c>
      <c r="F87" s="61">
        <v>153033.712</v>
      </c>
    </row>
    <row r="88" spans="1:6" x14ac:dyDescent="0.25">
      <c r="A88" s="3">
        <v>6800</v>
      </c>
      <c r="B88" t="s">
        <v>123</v>
      </c>
      <c r="C88" s="79"/>
      <c r="D88" s="79"/>
      <c r="E88" s="22">
        <v>410.22</v>
      </c>
      <c r="F88" s="61">
        <v>249.66</v>
      </c>
    </row>
    <row r="89" spans="1:6" x14ac:dyDescent="0.25">
      <c r="A89" s="3">
        <v>6845</v>
      </c>
      <c r="B89" t="s">
        <v>109</v>
      </c>
      <c r="C89" s="79">
        <v>2489.7199999999998</v>
      </c>
      <c r="D89" s="79">
        <v>2275.7939999999999</v>
      </c>
      <c r="E89" s="22">
        <v>14504.995999999999</v>
      </c>
      <c r="F89" s="61">
        <v>11502.578</v>
      </c>
    </row>
    <row r="90" spans="1:6" x14ac:dyDescent="0.25">
      <c r="A90" s="3">
        <v>6860</v>
      </c>
      <c r="B90" t="s">
        <v>124</v>
      </c>
      <c r="C90" s="79"/>
      <c r="D90" s="79"/>
      <c r="E90" s="22"/>
      <c r="F90" s="61">
        <v>2023.7</v>
      </c>
    </row>
    <row r="91" spans="1:6" x14ac:dyDescent="0.25">
      <c r="A91" s="3">
        <v>6862</v>
      </c>
      <c r="B91" t="s">
        <v>125</v>
      </c>
      <c r="C91" s="79"/>
      <c r="D91" s="79"/>
      <c r="E91" s="22">
        <v>26826.2</v>
      </c>
      <c r="F91" s="61">
        <v>21916</v>
      </c>
    </row>
    <row r="92" spans="1:6" x14ac:dyDescent="0.25">
      <c r="A92" s="3">
        <v>6890</v>
      </c>
      <c r="B92" t="s">
        <v>171</v>
      </c>
      <c r="C92" s="79"/>
      <c r="D92" s="79"/>
      <c r="E92" s="22">
        <v>258</v>
      </c>
      <c r="F92" s="61">
        <v>8025.6</v>
      </c>
    </row>
    <row r="93" spans="1:6" x14ac:dyDescent="0.25">
      <c r="A93" s="3">
        <v>6900</v>
      </c>
      <c r="B93" t="s">
        <v>172</v>
      </c>
      <c r="C93" s="79"/>
      <c r="D93" s="79">
        <v>99.01</v>
      </c>
      <c r="E93" s="22"/>
      <c r="F93" s="61">
        <v>99.01</v>
      </c>
    </row>
    <row r="94" spans="1:6" x14ac:dyDescent="0.25">
      <c r="A94" s="3">
        <v>6940</v>
      </c>
      <c r="B94" t="s">
        <v>41</v>
      </c>
      <c r="C94" s="79"/>
      <c r="D94" s="79"/>
      <c r="E94" s="22"/>
      <c r="F94" s="61">
        <v>1474.01</v>
      </c>
    </row>
    <row r="95" spans="1:6" x14ac:dyDescent="0.25">
      <c r="A95" s="3">
        <v>7101</v>
      </c>
      <c r="B95" t="s">
        <v>92</v>
      </c>
      <c r="C95" s="79">
        <v>2709</v>
      </c>
      <c r="D95" s="79"/>
      <c r="E95" s="22">
        <v>2709</v>
      </c>
      <c r="F95" s="61"/>
    </row>
    <row r="96" spans="1:6" x14ac:dyDescent="0.25">
      <c r="A96" s="3">
        <v>7140</v>
      </c>
      <c r="B96" t="s">
        <v>10</v>
      </c>
      <c r="C96" s="79">
        <v>368</v>
      </c>
      <c r="D96" s="79"/>
      <c r="E96" s="22">
        <v>368</v>
      </c>
      <c r="F96" s="61"/>
    </row>
    <row r="97" spans="1:6" x14ac:dyDescent="0.25">
      <c r="A97" s="3">
        <v>7410</v>
      </c>
      <c r="B97" t="s">
        <v>173</v>
      </c>
      <c r="C97" s="79"/>
      <c r="D97" s="79">
        <v>9570</v>
      </c>
      <c r="E97" s="22"/>
      <c r="F97" s="61">
        <v>9570</v>
      </c>
    </row>
    <row r="98" spans="1:6" x14ac:dyDescent="0.25">
      <c r="A98" s="3">
        <v>7420</v>
      </c>
      <c r="B98" t="s">
        <v>54</v>
      </c>
      <c r="C98" s="79"/>
      <c r="D98" s="79"/>
      <c r="E98" s="22"/>
      <c r="F98" s="61">
        <v>6668</v>
      </c>
    </row>
    <row r="99" spans="1:6" x14ac:dyDescent="0.25">
      <c r="A99" s="3">
        <v>7450</v>
      </c>
      <c r="B99" t="s">
        <v>206</v>
      </c>
      <c r="C99" s="79">
        <v>125000</v>
      </c>
      <c r="D99" s="79">
        <v>95000</v>
      </c>
      <c r="E99" s="22">
        <v>125000</v>
      </c>
      <c r="F99" s="61">
        <v>95000</v>
      </c>
    </row>
    <row r="100" spans="1:6" x14ac:dyDescent="0.25">
      <c r="A100" s="3">
        <v>7451</v>
      </c>
      <c r="B100" t="s">
        <v>11</v>
      </c>
      <c r="C100" s="79">
        <v>60000</v>
      </c>
      <c r="D100" s="79">
        <v>30000</v>
      </c>
      <c r="E100" s="22">
        <v>60000</v>
      </c>
      <c r="F100" s="61">
        <v>30000</v>
      </c>
    </row>
    <row r="101" spans="1:6" x14ac:dyDescent="0.25">
      <c r="A101" s="3">
        <v>7500</v>
      </c>
      <c r="B101" t="s">
        <v>195</v>
      </c>
      <c r="C101" s="79">
        <v>9138</v>
      </c>
      <c r="D101" s="79"/>
      <c r="E101" s="22">
        <v>13707</v>
      </c>
      <c r="F101" s="61"/>
    </row>
    <row r="102" spans="1:6" x14ac:dyDescent="0.25">
      <c r="A102" s="3">
        <v>7510</v>
      </c>
      <c r="B102" t="s">
        <v>195</v>
      </c>
      <c r="C102" s="79"/>
      <c r="D102" s="79">
        <v>8520.3333999999995</v>
      </c>
      <c r="E102" s="22">
        <v>35292.126700000001</v>
      </c>
      <c r="F102" s="61">
        <v>45663.457000000002</v>
      </c>
    </row>
    <row r="103" spans="1:6" x14ac:dyDescent="0.25">
      <c r="A103" s="3">
        <v>7740</v>
      </c>
      <c r="B103" t="s">
        <v>133</v>
      </c>
      <c r="C103" s="79">
        <v>-265.48</v>
      </c>
      <c r="D103" s="79">
        <v>-0.26</v>
      </c>
      <c r="E103" s="22">
        <v>-263.62</v>
      </c>
      <c r="F103" s="61">
        <v>-0.94</v>
      </c>
    </row>
    <row r="104" spans="1:6" x14ac:dyDescent="0.25">
      <c r="A104" s="3">
        <v>7770</v>
      </c>
      <c r="B104" t="s">
        <v>79</v>
      </c>
      <c r="C104" s="79">
        <v>1870</v>
      </c>
      <c r="D104" s="79">
        <v>202.75</v>
      </c>
      <c r="E104" s="22">
        <v>5762.75</v>
      </c>
      <c r="F104" s="61">
        <v>1588.75</v>
      </c>
    </row>
    <row r="105" spans="1:6" x14ac:dyDescent="0.25">
      <c r="A105" s="3">
        <v>7771</v>
      </c>
      <c r="B105" t="s">
        <v>134</v>
      </c>
      <c r="C105" s="79">
        <v>113.77</v>
      </c>
      <c r="D105" s="79"/>
      <c r="E105" s="22">
        <v>113.77</v>
      </c>
      <c r="F105" s="61"/>
    </row>
    <row r="106" spans="1:6" x14ac:dyDescent="0.25">
      <c r="A106" s="3">
        <v>7780</v>
      </c>
      <c r="B106" t="s">
        <v>28</v>
      </c>
      <c r="C106" s="79"/>
      <c r="D106" s="79"/>
      <c r="E106" s="22">
        <v>-3970.34</v>
      </c>
      <c r="F106" s="61">
        <v>310.77999999999997</v>
      </c>
    </row>
    <row r="107" spans="1:6" x14ac:dyDescent="0.25">
      <c r="A107" s="3">
        <v>7781</v>
      </c>
      <c r="B107" t="s">
        <v>110</v>
      </c>
      <c r="C107" s="79"/>
      <c r="D107" s="79">
        <v>604.41</v>
      </c>
      <c r="E107" s="22">
        <v>1487.17</v>
      </c>
      <c r="F107" s="61">
        <v>1178.4000000000001</v>
      </c>
    </row>
    <row r="108" spans="1:6" x14ac:dyDescent="0.25">
      <c r="A108" s="3">
        <v>7782</v>
      </c>
      <c r="B108" t="s">
        <v>196</v>
      </c>
      <c r="C108" s="79">
        <v>4651.17</v>
      </c>
      <c r="D108" s="79">
        <v>7985.97</v>
      </c>
      <c r="E108" s="22">
        <v>19130.310000000001</v>
      </c>
      <c r="F108" s="61">
        <v>18672.8</v>
      </c>
    </row>
    <row r="109" spans="1:6" x14ac:dyDescent="0.25">
      <c r="A109" s="3">
        <v>7783</v>
      </c>
      <c r="B109" t="s">
        <v>60</v>
      </c>
      <c r="C109" s="79">
        <v>1709.72</v>
      </c>
      <c r="D109" s="79"/>
      <c r="E109" s="22">
        <v>8995.17</v>
      </c>
      <c r="F109" s="61">
        <v>5575.77</v>
      </c>
    </row>
    <row r="110" spans="1:6" x14ac:dyDescent="0.25">
      <c r="A110" s="3">
        <v>7790</v>
      </c>
      <c r="B110" t="s">
        <v>80</v>
      </c>
      <c r="C110" s="79"/>
      <c r="D110" s="79"/>
      <c r="E110" s="22">
        <v>567</v>
      </c>
      <c r="F110" s="61">
        <v>4310</v>
      </c>
    </row>
    <row r="111" spans="1:6" ht="15.75" thickBot="1" x14ac:dyDescent="0.3">
      <c r="A111" s="3">
        <v>7791</v>
      </c>
      <c r="B111" t="s">
        <v>111</v>
      </c>
      <c r="C111" s="79"/>
      <c r="D111" s="79"/>
      <c r="E111" s="22">
        <v>2937.6</v>
      </c>
      <c r="F111" s="61">
        <v>130</v>
      </c>
    </row>
    <row r="112" spans="1:6" s="1" customFormat="1" ht="15.75" thickBot="1" x14ac:dyDescent="0.3">
      <c r="A112" s="23" t="s">
        <v>118</v>
      </c>
      <c r="B112" s="18"/>
      <c r="C112" s="97">
        <f t="shared" ref="C112:F112" si="12">SUM(C41:C111)</f>
        <v>777595.63459999999</v>
      </c>
      <c r="D112" s="97">
        <f t="shared" si="12"/>
        <v>1152233.8753999998</v>
      </c>
      <c r="E112" s="34">
        <f t="shared" si="12"/>
        <v>3118344.6109000002</v>
      </c>
      <c r="F112" s="95">
        <f t="shared" si="12"/>
        <v>2765186.4130000002</v>
      </c>
    </row>
    <row r="113" spans="1:6" x14ac:dyDescent="0.25">
      <c r="A113" s="3"/>
      <c r="C113" s="12"/>
      <c r="D113" s="12"/>
      <c r="E113" s="5"/>
      <c r="F113" s="17"/>
    </row>
    <row r="114" spans="1:6" s="1" customFormat="1" x14ac:dyDescent="0.25">
      <c r="A114" s="7" t="s">
        <v>20</v>
      </c>
      <c r="C114" s="33"/>
      <c r="D114" s="33"/>
      <c r="E114" s="15"/>
      <c r="F114" s="42"/>
    </row>
    <row r="115" spans="1:6" s="1" customFormat="1" x14ac:dyDescent="0.25">
      <c r="A115" s="3">
        <v>8051</v>
      </c>
      <c r="B115" t="s">
        <v>126</v>
      </c>
      <c r="C115" s="79">
        <v>-111438.12</v>
      </c>
      <c r="D115" s="79">
        <v>-22506</v>
      </c>
      <c r="E115" s="22">
        <v>-111438.12</v>
      </c>
      <c r="F115" s="61">
        <v>-46703.98</v>
      </c>
    </row>
    <row r="116" spans="1:6" x14ac:dyDescent="0.25">
      <c r="A116" s="3">
        <v>8151</v>
      </c>
      <c r="B116" t="s">
        <v>29</v>
      </c>
      <c r="C116" s="79"/>
      <c r="D116" s="79"/>
      <c r="E116" s="22"/>
      <c r="F116" s="61">
        <v>0</v>
      </c>
    </row>
    <row r="117" spans="1:6" x14ac:dyDescent="0.25">
      <c r="A117" s="3">
        <v>8154</v>
      </c>
      <c r="B117" t="s">
        <v>207</v>
      </c>
      <c r="C117" s="79"/>
      <c r="D117" s="79">
        <v>-54393.52</v>
      </c>
      <c r="E117" s="22"/>
      <c r="F117" s="61">
        <v>-54393.52</v>
      </c>
    </row>
    <row r="118" spans="1:6" x14ac:dyDescent="0.25">
      <c r="A118" s="3">
        <v>8155</v>
      </c>
      <c r="B118" t="s">
        <v>12</v>
      </c>
      <c r="C118" s="79">
        <v>35</v>
      </c>
      <c r="D118" s="79">
        <v>139.5</v>
      </c>
      <c r="E118" s="22">
        <v>397.53</v>
      </c>
      <c r="F118" s="61">
        <v>516.36</v>
      </c>
    </row>
    <row r="119" spans="1:6" ht="15.75" thickBot="1" x14ac:dyDescent="0.3">
      <c r="A119" s="3">
        <v>8160</v>
      </c>
      <c r="B119" t="s">
        <v>174</v>
      </c>
      <c r="C119" s="79"/>
      <c r="D119" s="79"/>
      <c r="E119" s="22">
        <v>4886.43</v>
      </c>
      <c r="F119" s="61">
        <v>67.86</v>
      </c>
    </row>
    <row r="120" spans="1:6" s="1" customFormat="1" x14ac:dyDescent="0.25">
      <c r="A120" s="58" t="s">
        <v>35</v>
      </c>
      <c r="B120" s="52"/>
      <c r="C120" s="101">
        <f t="shared" ref="C120:F120" si="13">SUM(C115)+SUM(C116:C119)</f>
        <v>-111403.12</v>
      </c>
      <c r="D120" s="101">
        <f t="shared" si="13"/>
        <v>-76760.01999999999</v>
      </c>
      <c r="E120" s="36">
        <f t="shared" si="13"/>
        <v>-106154.15999999999</v>
      </c>
      <c r="F120" s="174">
        <f t="shared" si="13"/>
        <v>-100513.28</v>
      </c>
    </row>
    <row r="121" spans="1:6" x14ac:dyDescent="0.25">
      <c r="A121" s="3"/>
      <c r="C121" s="12"/>
      <c r="D121" s="12"/>
      <c r="E121" s="5"/>
      <c r="F121" s="17"/>
    </row>
    <row r="122" spans="1:6" s="1" customFormat="1" ht="15.75" thickBot="1" x14ac:dyDescent="0.3">
      <c r="A122" s="24" t="s">
        <v>84</v>
      </c>
      <c r="B122" s="16"/>
      <c r="C122" s="108">
        <f t="shared" ref="C122:F122" si="14">C38-C112-C120</f>
        <v>112361.34329999995</v>
      </c>
      <c r="D122" s="108">
        <f t="shared" si="14"/>
        <v>58640.451700000063</v>
      </c>
      <c r="E122" s="62">
        <f t="shared" si="14"/>
        <v>516093.40239999938</v>
      </c>
      <c r="F122" s="169">
        <f t="shared" si="14"/>
        <v>527418.985099999</v>
      </c>
    </row>
    <row r="123" spans="1:6" x14ac:dyDescent="0.25">
      <c r="A123" s="3"/>
      <c r="C123" s="12"/>
      <c r="D123" s="12"/>
      <c r="E123" s="5"/>
      <c r="F123" s="17"/>
    </row>
    <row r="124" spans="1:6" s="1" customFormat="1" ht="15.75" thickBot="1" x14ac:dyDescent="0.3">
      <c r="A124" s="7" t="s">
        <v>50</v>
      </c>
      <c r="C124" s="33"/>
      <c r="D124" s="33"/>
      <c r="E124" s="15"/>
      <c r="F124" s="42"/>
    </row>
    <row r="125" spans="1:6" x14ac:dyDescent="0.25">
      <c r="A125" s="55" t="s">
        <v>85</v>
      </c>
      <c r="B125" s="59"/>
      <c r="C125" s="101">
        <f t="shared" ref="C125:F125" si="15">SUM(0)</f>
        <v>0</v>
      </c>
      <c r="D125" s="101">
        <f t="shared" si="15"/>
        <v>0</v>
      </c>
      <c r="E125" s="176">
        <f t="shared" si="15"/>
        <v>0</v>
      </c>
      <c r="F125" s="154">
        <f t="shared" si="15"/>
        <v>0</v>
      </c>
    </row>
    <row r="126" spans="1:6" x14ac:dyDescent="0.25">
      <c r="A126" s="3"/>
      <c r="C126" s="12"/>
      <c r="D126" s="12"/>
      <c r="E126" s="5"/>
      <c r="F126" s="17"/>
    </row>
    <row r="127" spans="1:6" s="1" customFormat="1" ht="15.75" thickBot="1" x14ac:dyDescent="0.3">
      <c r="A127" s="54" t="s">
        <v>144</v>
      </c>
      <c r="B127" s="57"/>
      <c r="C127" s="126">
        <f t="shared" ref="C127:F127" si="16">C122-C125</f>
        <v>112361.34329999995</v>
      </c>
      <c r="D127" s="126">
        <f t="shared" si="16"/>
        <v>58640.451700000063</v>
      </c>
      <c r="E127" s="82">
        <f t="shared" si="16"/>
        <v>516093.40239999938</v>
      </c>
      <c r="F127" s="173">
        <f t="shared" si="16"/>
        <v>527418.985099999</v>
      </c>
    </row>
    <row r="128" spans="1:6" ht="15.75" thickTop="1" x14ac:dyDescent="0.25"/>
    <row r="253" spans="2:2" hidden="1" x14ac:dyDescent="0.25"/>
    <row r="254" spans="2:2" hidden="1" x14ac:dyDescent="0.25">
      <c r="B254" t="str">
        <f>VLOOKUP(RIGHT(202511,2),MANED2,2,FALSE)&amp;" - "</f>
        <v xml:space="preserve">November - </v>
      </c>
    </row>
    <row r="255" spans="2:2" hidden="1" x14ac:dyDescent="0.25">
      <c r="B255" t="str">
        <f>VLOOKUP(RIGHT(202512,2),MANED2,2,FALSE)&amp;"  "&amp;LEFT(202512,4)</f>
        <v>Desember  2025</v>
      </c>
    </row>
    <row r="256" spans="2:2" hidden="1" x14ac:dyDescent="0.25"/>
    <row r="257" spans="1:2" hidden="1" x14ac:dyDescent="0.25"/>
    <row r="258" spans="1:2" hidden="1" x14ac:dyDescent="0.25"/>
    <row r="259" spans="1:2" hidden="1" x14ac:dyDescent="0.25">
      <c r="A259" s="47" t="s">
        <v>65</v>
      </c>
      <c r="B259" s="43" t="s">
        <v>184</v>
      </c>
    </row>
    <row r="260" spans="1:2" hidden="1" x14ac:dyDescent="0.25">
      <c r="A260" s="47" t="s">
        <v>130</v>
      </c>
      <c r="B260" s="43" t="s">
        <v>1</v>
      </c>
    </row>
    <row r="261" spans="1:2" hidden="1" x14ac:dyDescent="0.25">
      <c r="A261" s="47" t="s">
        <v>185</v>
      </c>
      <c r="B261" s="43" t="s">
        <v>66</v>
      </c>
    </row>
    <row r="262" spans="1:2" hidden="1" x14ac:dyDescent="0.25">
      <c r="A262" s="47" t="s">
        <v>2</v>
      </c>
      <c r="B262" s="43" t="s">
        <v>21</v>
      </c>
    </row>
    <row r="263" spans="1:2" hidden="1" x14ac:dyDescent="0.25">
      <c r="A263" s="47" t="s">
        <v>67</v>
      </c>
      <c r="B263" s="43" t="s">
        <v>166</v>
      </c>
    </row>
    <row r="264" spans="1:2" hidden="1" x14ac:dyDescent="0.25">
      <c r="A264" s="47" t="s">
        <v>131</v>
      </c>
      <c r="B264" s="43" t="s">
        <v>217</v>
      </c>
    </row>
    <row r="265" spans="1:2" hidden="1" x14ac:dyDescent="0.25">
      <c r="A265" s="47" t="s">
        <v>186</v>
      </c>
      <c r="B265" s="43" t="s">
        <v>101</v>
      </c>
    </row>
    <row r="266" spans="1:2" hidden="1" x14ac:dyDescent="0.25">
      <c r="A266" s="47" t="s">
        <v>3</v>
      </c>
      <c r="B266" s="43" t="s">
        <v>102</v>
      </c>
    </row>
    <row r="267" spans="1:2" hidden="1" x14ac:dyDescent="0.25">
      <c r="A267" s="47" t="s">
        <v>68</v>
      </c>
      <c r="B267" s="43" t="s">
        <v>86</v>
      </c>
    </row>
    <row r="268" spans="1:2" hidden="1" x14ac:dyDescent="0.25">
      <c r="A268" s="47" t="s">
        <v>187</v>
      </c>
      <c r="B268" s="43" t="s">
        <v>167</v>
      </c>
    </row>
    <row r="269" spans="1:2" hidden="1" x14ac:dyDescent="0.25">
      <c r="A269" s="47" t="s">
        <v>4</v>
      </c>
      <c r="B269" s="43" t="s">
        <v>5</v>
      </c>
    </row>
    <row r="270" spans="1:2" hidden="1" x14ac:dyDescent="0.25">
      <c r="A270" s="47" t="s">
        <v>69</v>
      </c>
      <c r="B270" s="43" t="s">
        <v>103</v>
      </c>
    </row>
    <row r="271" spans="1:2" hidden="1" x14ac:dyDescent="0.2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2"/>
  <sheetViews>
    <sheetView workbookViewId="0"/>
  </sheetViews>
  <sheetFormatPr baseColWidth="10" defaultColWidth="11.42578125" defaultRowHeight="15" x14ac:dyDescent="0.25"/>
  <cols>
    <col min="1" max="1" width="10.85546875" customWidth="1"/>
    <col min="2" max="2" width="40.7109375" customWidth="1"/>
    <col min="3" max="4" width="15" customWidth="1"/>
    <col min="5" max="5" width="15" style="13" customWidth="1"/>
    <col min="6" max="9" width="15.140625" style="13" customWidth="1"/>
  </cols>
  <sheetData>
    <row r="1" spans="1:9" x14ac:dyDescent="0.25">
      <c r="A1" t="s">
        <v>156</v>
      </c>
    </row>
    <row r="3" spans="1:9" ht="26.25" x14ac:dyDescent="0.4">
      <c r="A3" s="48" t="e">
        <f ca="1">_xll.OneStop.ReportPlayer.OSRFunctions.OSRGet("ThisCompany","CompanyName")</f>
        <v>#NAME?</v>
      </c>
      <c r="F3" s="45" t="s">
        <v>87</v>
      </c>
      <c r="I3" s="38" t="s">
        <v>115</v>
      </c>
    </row>
    <row r="4" spans="1:9" ht="15.75" x14ac:dyDescent="0.25">
      <c r="F4" s="92" t="e">
        <f ca="1">CONCATENATE(B155," ",B156)</f>
        <v>#NAME?</v>
      </c>
      <c r="I4" s="39">
        <f ca="1">NOW()</f>
        <v>46133.427832754627</v>
      </c>
    </row>
    <row r="5" spans="1:9" x14ac:dyDescent="0.25">
      <c r="A5" t="s">
        <v>180</v>
      </c>
    </row>
    <row r="6" spans="1:9" ht="15.75" thickBot="1" x14ac:dyDescent="0.3"/>
    <row r="7" spans="1:9" s="1" customFormat="1" ht="15.75" thickTop="1" x14ac:dyDescent="0.25">
      <c r="A7" s="37"/>
      <c r="B7" s="35"/>
      <c r="C7" s="89" t="s">
        <v>157</v>
      </c>
      <c r="D7" s="89" t="s">
        <v>157</v>
      </c>
      <c r="E7" s="60" t="s">
        <v>18</v>
      </c>
      <c r="F7" s="70" t="s">
        <v>18</v>
      </c>
      <c r="G7" s="25"/>
      <c r="H7" s="123" t="s">
        <v>19</v>
      </c>
      <c r="I7" s="25"/>
    </row>
    <row r="8" spans="1:9" s="1" customFormat="1" ht="15.75" thickBot="1" x14ac:dyDescent="0.3">
      <c r="A8" s="24"/>
      <c r="B8" s="16"/>
      <c r="C8" s="102" t="s">
        <v>19</v>
      </c>
      <c r="D8" s="102" t="s">
        <v>181</v>
      </c>
      <c r="E8" s="56" t="s">
        <v>19</v>
      </c>
      <c r="F8" s="69" t="s">
        <v>181</v>
      </c>
      <c r="G8" s="27" t="s">
        <v>116</v>
      </c>
      <c r="H8" s="109" t="s">
        <v>129</v>
      </c>
      <c r="I8" s="27" t="s">
        <v>116</v>
      </c>
    </row>
    <row r="9" spans="1:9" s="1" customFormat="1" x14ac:dyDescent="0.25">
      <c r="A9" s="7" t="s">
        <v>0</v>
      </c>
      <c r="C9" s="90"/>
      <c r="D9" s="90"/>
      <c r="E9" s="53"/>
      <c r="F9" s="73"/>
      <c r="G9" s="20"/>
      <c r="H9" s="142"/>
      <c r="I9" s="20"/>
    </row>
    <row r="10" spans="1:9" ht="15.75" thickBot="1" x14ac:dyDescent="0.3">
      <c r="A10" s="3" t="e">
        <f ca="1">_xll.OneStop.ReportPlayer.OSRFunctions.OSRGet("Journal_Account","AccountNo")</f>
        <v>#NAME?</v>
      </c>
      <c r="B10" t="e">
        <f ca="1">_xll.OneStop.ReportPlayer.OSRFunctions.OSRGet("Journal_Account","AccountName")</f>
        <v>#NAME?</v>
      </c>
      <c r="C10" s="12" t="e">
        <f ca="1">-_xll.OneStop.ReportPlayer.OSRFunctions.OSRGet("Journal_SubEntry","AmtCur")</f>
        <v>#NAME?</v>
      </c>
      <c r="D10" s="12" t="e">
        <f ca="1">-_xll.OneStop.ReportPlayer.OSRFunctions.OSRGet("Journal_SubEntry","AmtCur")</f>
        <v>#NAME?</v>
      </c>
      <c r="E10" s="5" t="e">
        <f ca="1">-_xll.OneStop.ReportPlayer.OSRFunctions.OSRGet("Journal_SubEntry","AmtCur")</f>
        <v>#NAME?</v>
      </c>
      <c r="F10" s="17" t="e">
        <f ca="1">-_xll.OneStop.ReportPlayer.OSRFunctions.OSRGet("Journal_SubEntry","AmtCur")</f>
        <v>#NAME?</v>
      </c>
      <c r="G10" s="2" t="e">
        <f t="shared" ref="G10:G11" ca="1" si="0">E10-F10</f>
        <v>#NAME?</v>
      </c>
      <c r="H10" s="32" t="e">
        <f ca="1">_xll.OneStop.ReportPlayer.OSRFunctions.OSRGet("FactBudgetTrans","Budget Amount")</f>
        <v>#NAME?</v>
      </c>
      <c r="I10" s="2" t="e">
        <f t="shared" ref="I10:I11" ca="1" si="1">E10-H10</f>
        <v>#NAME?</v>
      </c>
    </row>
    <row r="11" spans="1:9" s="1" customFormat="1" ht="15.75" thickBot="1" x14ac:dyDescent="0.3">
      <c r="A11" s="23" t="s">
        <v>117</v>
      </c>
      <c r="B11" s="18"/>
      <c r="C11" s="99" t="e">
        <f ca="1">SUM(_xll.OneStop.ReportPlayer.OSRFunctions.OSRRef(C10))</f>
        <v>#NAME?</v>
      </c>
      <c r="D11" s="99" t="e">
        <f ca="1">SUM(_xll.OneStop.ReportPlayer.OSRFunctions.OSRRef(D10))</f>
        <v>#NAME?</v>
      </c>
      <c r="E11" s="94" t="e">
        <f ca="1">SUM(_xll.OneStop.ReportPlayer.OSRFunctions.OSRRef(E10))</f>
        <v>#NAME?</v>
      </c>
      <c r="F11" s="103" t="e">
        <f ca="1">SUM(_xll.OneStop.ReportPlayer.OSRFunctions.OSRRef(F10))</f>
        <v>#NAME?</v>
      </c>
      <c r="G11" s="51" t="e">
        <f t="shared" ca="1" si="0"/>
        <v>#NAME?</v>
      </c>
      <c r="H11" s="130" t="e">
        <f ca="1">SUM(_xll.OneStop.ReportPlayer.OSRFunctions.OSRRef(H10))</f>
        <v>#NAME?</v>
      </c>
      <c r="I11" s="51" t="e">
        <f t="shared" ca="1" si="1"/>
        <v>#NAME?</v>
      </c>
    </row>
    <row r="12" spans="1:9" x14ac:dyDescent="0.25">
      <c r="A12" s="3"/>
      <c r="C12" s="12"/>
      <c r="D12" s="12"/>
      <c r="E12" s="5"/>
      <c r="F12" s="17"/>
      <c r="G12" s="2"/>
      <c r="H12" s="32"/>
      <c r="I12" s="2"/>
    </row>
    <row r="13" spans="1:9" s="1" customFormat="1" x14ac:dyDescent="0.25">
      <c r="A13" s="7" t="s">
        <v>215</v>
      </c>
      <c r="C13" s="33"/>
      <c r="D13" s="33"/>
      <c r="E13" s="15"/>
      <c r="F13" s="42"/>
      <c r="G13" s="4"/>
      <c r="H13" s="80"/>
      <c r="I13" s="4"/>
    </row>
    <row r="14" spans="1:9" ht="15.75" thickBot="1" x14ac:dyDescent="0.3">
      <c r="A14" s="3" t="e">
        <f ca="1">_xll.OneStop.ReportPlayer.OSRFunctions.OSRGet("Journal_Account","AccountNo")</f>
        <v>#NAME?</v>
      </c>
      <c r="B14" t="e">
        <f ca="1">_xll.OneStop.ReportPlayer.OSRFunctions.OSRGet("Journal_Account","AccountName")</f>
        <v>#NAME?</v>
      </c>
      <c r="C14" s="12" t="e">
        <f ca="1">_xll.OneStop.ReportPlayer.OSRFunctions.OSRGet("Journal_SubEntry","AmtCur")</f>
        <v>#NAME?</v>
      </c>
      <c r="D14" s="12" t="e">
        <f ca="1">_xll.OneStop.ReportPlayer.OSRFunctions.OSRGet("Journal_SubEntry","AmtCur")</f>
        <v>#NAME?</v>
      </c>
      <c r="E14" s="5" t="e">
        <f ca="1">_xll.OneStop.ReportPlayer.OSRFunctions.OSRGet("Journal_SubEntry","AmtCur")</f>
        <v>#NAME?</v>
      </c>
      <c r="F14" s="17" t="e">
        <f ca="1">_xll.OneStop.ReportPlayer.OSRFunctions.OSRGet("Journal_SubEntry","AmtCur")</f>
        <v>#NAME?</v>
      </c>
      <c r="G14" s="2" t="e">
        <f t="shared" ref="G14:G15" ca="1" si="2">E14-F14</f>
        <v>#NAME?</v>
      </c>
      <c r="H14" s="32" t="e">
        <f ca="1">_xll.OneStop.ReportPlayer.OSRFunctions.OSRGet("FactBudgetTrans","Budget Amount")</f>
        <v>#NAME?</v>
      </c>
      <c r="I14" s="2" t="e">
        <f t="shared" ref="I14:I15" ca="1" si="3">E14-H14</f>
        <v>#NAME?</v>
      </c>
    </row>
    <row r="15" spans="1:9" s="1" customFormat="1" ht="15.75" thickBot="1" x14ac:dyDescent="0.3">
      <c r="A15" s="23" t="s">
        <v>118</v>
      </c>
      <c r="B15" s="18"/>
      <c r="C15" s="99" t="e">
        <f ca="1">SUM(_xll.OneStop.ReportPlayer.OSRFunctions.OSRRef(C14))</f>
        <v>#NAME?</v>
      </c>
      <c r="D15" s="99" t="e">
        <f ca="1">SUM(_xll.OneStop.ReportPlayer.OSRFunctions.OSRRef(D14))</f>
        <v>#NAME?</v>
      </c>
      <c r="E15" s="94" t="e">
        <f ca="1">SUM(_xll.OneStop.ReportPlayer.OSRFunctions.OSRRef(E14))</f>
        <v>#NAME?</v>
      </c>
      <c r="F15" s="103" t="e">
        <f ca="1">SUM(_xll.OneStop.ReportPlayer.OSRFunctions.OSRRef(F14))</f>
        <v>#NAME?</v>
      </c>
      <c r="G15" s="51" t="e">
        <f t="shared" ca="1" si="2"/>
        <v>#NAME?</v>
      </c>
      <c r="H15" s="130" t="e">
        <f ca="1">SUM(_xll.OneStop.ReportPlayer.OSRFunctions.OSRRef(H14))</f>
        <v>#NAME?</v>
      </c>
      <c r="I15" s="51" t="e">
        <f t="shared" ca="1" si="3"/>
        <v>#NAME?</v>
      </c>
    </row>
    <row r="16" spans="1:9" x14ac:dyDescent="0.25">
      <c r="A16" s="3"/>
      <c r="C16" s="12"/>
      <c r="D16" s="12"/>
      <c r="E16" s="5"/>
      <c r="F16" s="17"/>
      <c r="G16" s="2"/>
      <c r="H16" s="32"/>
      <c r="I16" s="2"/>
    </row>
    <row r="17" spans="1:9" s="1" customFormat="1" x14ac:dyDescent="0.25">
      <c r="A17" s="7" t="s">
        <v>20</v>
      </c>
      <c r="C17" s="33"/>
      <c r="D17" s="33"/>
      <c r="E17" s="15"/>
      <c r="F17" s="42"/>
      <c r="G17" s="4"/>
      <c r="H17" s="80"/>
      <c r="I17" s="4"/>
    </row>
    <row r="18" spans="1:9" s="1" customFormat="1" x14ac:dyDescent="0.25">
      <c r="A18" s="3" t="e">
        <f ca="1">_xll.OneStop.ReportPlayer.OSRFunctions.OSRGet("Journal_Account","AccountNo")</f>
        <v>#NAME?</v>
      </c>
      <c r="B18" t="e">
        <f ca="1">_xll.OneStop.ReportPlayer.OSRFunctions.OSRGet("Journal_Account","AccountName")</f>
        <v>#NAME?</v>
      </c>
      <c r="C18" s="12" t="e">
        <f ca="1">_xll.OneStop.ReportPlayer.OSRFunctions.OSRGet("Journal_SubEntry","AmtCur")</f>
        <v>#NAME?</v>
      </c>
      <c r="D18" s="12" t="e">
        <f ca="1">_xll.OneStop.ReportPlayer.OSRFunctions.OSRGet("Journal_SubEntry","AmtCur")</f>
        <v>#NAME?</v>
      </c>
      <c r="E18" s="5" t="e">
        <f ca="1">_xll.OneStop.ReportPlayer.OSRFunctions.OSRGet("Journal_SubEntry","AmtCur")</f>
        <v>#NAME?</v>
      </c>
      <c r="F18" s="17" t="e">
        <f ca="1">_xll.OneStop.ReportPlayer.OSRFunctions.OSRGet("Journal_SubEntry","AmtCur")</f>
        <v>#NAME?</v>
      </c>
      <c r="G18" s="2" t="e">
        <f t="shared" ref="G18:G20" ca="1" si="4">E18-F18</f>
        <v>#NAME?</v>
      </c>
      <c r="H18" s="32" t="e">
        <f ca="1">-_xll.OneStop.ReportPlayer.OSRFunctions.OSRGet("FactBudgetTrans","Budget Amount")</f>
        <v>#NAME?</v>
      </c>
      <c r="I18" s="2" t="e">
        <f t="shared" ref="I18:I20" ca="1" si="5">E18-H18</f>
        <v>#NAME?</v>
      </c>
    </row>
    <row r="19" spans="1:9" ht="15.75" thickBot="1" x14ac:dyDescent="0.3">
      <c r="A19" s="3" t="e">
        <f ca="1">_xll.OneStop.ReportPlayer.OSRFunctions.OSRGet("Journal_Account","AccountNo")</f>
        <v>#NAME?</v>
      </c>
      <c r="B19" t="e">
        <f ca="1">_xll.OneStop.ReportPlayer.OSRFunctions.OSRGet("Journal_Account","AccountName")</f>
        <v>#NAME?</v>
      </c>
      <c r="C19" s="12" t="e">
        <f ca="1">_xll.OneStop.ReportPlayer.OSRFunctions.OSRGet("Journal_SubEntry","AmtCur")</f>
        <v>#NAME?</v>
      </c>
      <c r="D19" s="12" t="e">
        <f ca="1">_xll.OneStop.ReportPlayer.OSRFunctions.OSRGet("Journal_SubEntry","AmtCur")</f>
        <v>#NAME?</v>
      </c>
      <c r="E19" s="5" t="e">
        <f ca="1">_xll.OneStop.ReportPlayer.OSRFunctions.OSRGet("Journal_SubEntry","AmtCur")</f>
        <v>#NAME?</v>
      </c>
      <c r="F19" s="17" t="e">
        <f ca="1">_xll.OneStop.ReportPlayer.OSRFunctions.OSRGet("Journal_SubEntry","AmtCur")</f>
        <v>#NAME?</v>
      </c>
      <c r="G19" s="2" t="e">
        <f t="shared" ca="1" si="4"/>
        <v>#NAME?</v>
      </c>
      <c r="H19" s="32" t="e">
        <f ca="1">_xll.OneStop.ReportPlayer.OSRFunctions.OSRGet("FactBudgetTrans","Budget Amount")</f>
        <v>#NAME?</v>
      </c>
      <c r="I19" s="2" t="e">
        <f t="shared" ca="1" si="5"/>
        <v>#NAME?</v>
      </c>
    </row>
    <row r="20" spans="1:9" s="1" customFormat="1" x14ac:dyDescent="0.25">
      <c r="A20" s="58" t="s">
        <v>35</v>
      </c>
      <c r="B20" s="52"/>
      <c r="C20" s="93" t="e">
        <f ca="1">SUM(_xll.OneStop.ReportPlayer.OSRFunctions.OSRRef(C18))+SUM(_xll.OneStop.ReportPlayer.OSRFunctions.OSRRef(C19))</f>
        <v>#NAME?</v>
      </c>
      <c r="D20" s="93" t="e">
        <f ca="1">SUM(_xll.OneStop.ReportPlayer.OSRFunctions.OSRRef(D18))+SUM(_xll.OneStop.ReportPlayer.OSRFunctions.OSRRef(D19))</f>
        <v>#NAME?</v>
      </c>
      <c r="E20" s="105" t="e">
        <f ca="1">SUM(_xll.OneStop.ReportPlayer.OSRFunctions.OSRRef(E18))+SUM(_xll.OneStop.ReportPlayer.OSRFunctions.OSRRef(E19))</f>
        <v>#NAME?</v>
      </c>
      <c r="F20" s="151" t="e">
        <f ca="1">SUM(_xll.OneStop.ReportPlayer.OSRFunctions.OSRRef(F18))+SUM(_xll.OneStop.ReportPlayer.OSRFunctions.OSRRef(F19))</f>
        <v>#NAME?</v>
      </c>
      <c r="G20" s="65" t="e">
        <f t="shared" ca="1" si="4"/>
        <v>#NAME?</v>
      </c>
      <c r="H20" s="156" t="e">
        <f ca="1">SUM(_xll.OneStop.ReportPlayer.OSRFunctions.OSRRef(H18))+SUM(_xll.OneStop.ReportPlayer.OSRFunctions.OSRRef(H19))</f>
        <v>#NAME?</v>
      </c>
      <c r="I20" s="65" t="e">
        <f t="shared" ca="1" si="5"/>
        <v>#NAME?</v>
      </c>
    </row>
    <row r="21" spans="1:9" x14ac:dyDescent="0.25">
      <c r="A21" s="3"/>
      <c r="C21" s="12"/>
      <c r="D21" s="12"/>
      <c r="E21" s="5"/>
      <c r="F21" s="17"/>
      <c r="G21" s="2"/>
      <c r="H21" s="32"/>
      <c r="I21" s="2"/>
    </row>
    <row r="22" spans="1:9" s="1" customFormat="1" ht="15.75" thickBot="1" x14ac:dyDescent="0.3">
      <c r="A22" s="24" t="s">
        <v>84</v>
      </c>
      <c r="B22" s="16"/>
      <c r="C22" s="135" t="e">
        <f t="shared" ref="C22:F22" ca="1" si="6">C11-C15-C20</f>
        <v>#NAME?</v>
      </c>
      <c r="D22" s="135" t="e">
        <f t="shared" ca="1" si="6"/>
        <v>#NAME?</v>
      </c>
      <c r="E22" s="117" t="e">
        <f t="shared" ca="1" si="6"/>
        <v>#NAME?</v>
      </c>
      <c r="F22" s="149" t="e">
        <f t="shared" ca="1" si="6"/>
        <v>#NAME?</v>
      </c>
      <c r="G22" s="96" t="e">
        <f ca="1">E22-F22</f>
        <v>#NAME?</v>
      </c>
      <c r="H22" s="155" t="e">
        <f ca="1">H11-H15-H20</f>
        <v>#NAME?</v>
      </c>
      <c r="I22" s="96" t="e">
        <f ca="1">E22-H22</f>
        <v>#NAME?</v>
      </c>
    </row>
    <row r="23" spans="1:9" x14ac:dyDescent="0.25">
      <c r="A23" s="3"/>
      <c r="C23" s="12"/>
      <c r="D23" s="12"/>
      <c r="E23" s="5"/>
      <c r="F23" s="17"/>
      <c r="G23" s="2"/>
      <c r="H23" s="32"/>
      <c r="I23" s="2"/>
    </row>
    <row r="24" spans="1:9" s="1" customFormat="1" x14ac:dyDescent="0.25">
      <c r="A24" s="7" t="s">
        <v>50</v>
      </c>
      <c r="C24" s="33"/>
      <c r="D24" s="33"/>
      <c r="E24" s="15"/>
      <c r="F24" s="42"/>
      <c r="G24" s="4"/>
      <c r="H24" s="80"/>
      <c r="I24" s="4"/>
    </row>
    <row r="25" spans="1:9" ht="15.75" thickBot="1" x14ac:dyDescent="0.3">
      <c r="A25" s="3" t="e">
        <f ca="1">_xll.OneStop.ReportPlayer.OSRFunctions.OSRGet("Journal_Account","AccountNo")</f>
        <v>#NAME?</v>
      </c>
      <c r="B25" t="e">
        <f ca="1">_xll.OneStop.ReportPlayer.OSRFunctions.OSRGet("Journal_Account","AccountName")</f>
        <v>#NAME?</v>
      </c>
      <c r="C25" s="12" t="e">
        <f ca="1">_xll.OneStop.ReportPlayer.OSRFunctions.OSRGet("Journal_SubEntry","AmtCur")</f>
        <v>#NAME?</v>
      </c>
      <c r="D25" s="12" t="e">
        <f ca="1">_xll.OneStop.ReportPlayer.OSRFunctions.OSRGet("Journal_SubEntry","AmtCur")</f>
        <v>#NAME?</v>
      </c>
      <c r="E25" s="5" t="e">
        <f ca="1">_xll.OneStop.ReportPlayer.OSRFunctions.OSRGet("Journal_SubEntry","AmtCur")</f>
        <v>#NAME?</v>
      </c>
      <c r="F25" s="17" t="e">
        <f ca="1">_xll.OneStop.ReportPlayer.OSRFunctions.OSRGet("Journal_SubEntry","AmtCur")</f>
        <v>#NAME?</v>
      </c>
      <c r="G25" s="2" t="e">
        <f t="shared" ref="G25:G26" ca="1" si="7">E25-F25</f>
        <v>#NAME?</v>
      </c>
      <c r="H25" s="32" t="e">
        <f ca="1">_xll.OneStop.ReportPlayer.OSRFunctions.OSRGet("FactBudgetTrans","Budget Amount")</f>
        <v>#NAME?</v>
      </c>
      <c r="I25" s="2" t="e">
        <f t="shared" ref="I25:I26" ca="1" si="8">E25-H25</f>
        <v>#NAME?</v>
      </c>
    </row>
    <row r="26" spans="1:9" x14ac:dyDescent="0.25">
      <c r="A26" s="55" t="s">
        <v>85</v>
      </c>
      <c r="B26" s="59"/>
      <c r="C26" s="93" t="e">
        <f ca="1">SUM(_xll.OneStop.ReportPlayer.OSRFunctions.OSRRef(C25))</f>
        <v>#NAME?</v>
      </c>
      <c r="D26" s="93" t="e">
        <f ca="1">SUM(_xll.OneStop.ReportPlayer.OSRFunctions.OSRRef(D25))</f>
        <v>#NAME?</v>
      </c>
      <c r="E26" s="160" t="e">
        <f ca="1">SUM(_xll.OneStop.ReportPlayer.OSRFunctions.OSRRef(E25))</f>
        <v>#NAME?</v>
      </c>
      <c r="F26" s="145" t="e">
        <f ca="1">SUM(_xll.OneStop.ReportPlayer.OSRFunctions.OSRRef(F25))</f>
        <v>#NAME?</v>
      </c>
      <c r="G26" s="136" t="e">
        <f t="shared" ca="1" si="7"/>
        <v>#NAME?</v>
      </c>
      <c r="H26" s="164" t="e">
        <f ca="1">SUM(_xll.OneStop.ReportPlayer.OSRFunctions.OSRRef(H25))</f>
        <v>#NAME?</v>
      </c>
      <c r="I26" s="136" t="e">
        <f t="shared" ca="1" si="8"/>
        <v>#NAME?</v>
      </c>
    </row>
    <row r="27" spans="1:9" x14ac:dyDescent="0.25">
      <c r="A27" s="3"/>
      <c r="C27" s="12"/>
      <c r="D27" s="12"/>
      <c r="E27" s="5"/>
      <c r="F27" s="17"/>
      <c r="G27" s="2"/>
      <c r="H27" s="32"/>
      <c r="I27" s="2"/>
    </row>
    <row r="28" spans="1:9" s="1" customFormat="1" ht="15.75" thickBot="1" x14ac:dyDescent="0.3">
      <c r="A28" s="54" t="s">
        <v>144</v>
      </c>
      <c r="B28" s="57"/>
      <c r="C28" s="122" t="e">
        <f t="shared" ref="C28:F28" ca="1" si="9">C22-C26</f>
        <v>#NAME?</v>
      </c>
      <c r="D28" s="122" t="e">
        <f t="shared" ca="1" si="9"/>
        <v>#NAME?</v>
      </c>
      <c r="E28" s="121" t="e">
        <f t="shared" ca="1" si="9"/>
        <v>#NAME?</v>
      </c>
      <c r="F28" s="178" t="e">
        <f t="shared" ca="1" si="9"/>
        <v>#NAME?</v>
      </c>
      <c r="G28" s="100" t="e">
        <f ca="1">E28-F28</f>
        <v>#NAME?</v>
      </c>
      <c r="H28" s="171" t="e">
        <f ca="1">H22-H26</f>
        <v>#NAME?</v>
      </c>
      <c r="I28" s="100" t="e">
        <f ca="1">E28-H28</f>
        <v>#NAME?</v>
      </c>
    </row>
    <row r="29" spans="1:9" ht="15.75" thickTop="1" x14ac:dyDescent="0.25"/>
    <row r="154" spans="1:2" hidden="1" x14ac:dyDescent="0.25"/>
    <row r="155" spans="1:2" hidden="1" x14ac:dyDescent="0.25">
      <c r="B155" t="e">
        <f ca="1">VLOOKUP(RIGHT(_xll.OneStop.ReportPlayer.OSRFunctions.OSRGet("Period","PeriodId"),2),MANED2,2,FALSE)&amp;" - "</f>
        <v>#NAME?</v>
      </c>
    </row>
    <row r="156" spans="1:2" hidden="1" x14ac:dyDescent="0.25">
      <c r="B156" t="e">
        <f ca="1">VLOOKUP(RIGHT(_xll.OneStop.ReportPlayer.OSRFunctions.OSRGet("Period","PeriodId"),2),MANED2,2,FALSE)&amp;"  "&amp;LEFT(_xll.OneStop.ReportPlayer.OSRFunctions.OSRGet("Period","PeriodId"),4)</f>
        <v>#NAME?</v>
      </c>
    </row>
    <row r="157" spans="1:2" hidden="1" x14ac:dyDescent="0.25"/>
    <row r="158" spans="1:2" hidden="1" x14ac:dyDescent="0.25"/>
    <row r="159" spans="1:2" hidden="1" x14ac:dyDescent="0.25"/>
    <row r="160" spans="1:2" hidden="1" x14ac:dyDescent="0.25">
      <c r="A160" s="47" t="s">
        <v>65</v>
      </c>
      <c r="B160" s="43" t="s">
        <v>184</v>
      </c>
    </row>
    <row r="161" spans="1:2" hidden="1" x14ac:dyDescent="0.25">
      <c r="A161" s="47" t="s">
        <v>130</v>
      </c>
      <c r="B161" s="43" t="s">
        <v>1</v>
      </c>
    </row>
    <row r="162" spans="1:2" hidden="1" x14ac:dyDescent="0.25">
      <c r="A162" s="47" t="s">
        <v>185</v>
      </c>
      <c r="B162" s="43" t="s">
        <v>66</v>
      </c>
    </row>
    <row r="163" spans="1:2" hidden="1" x14ac:dyDescent="0.25">
      <c r="A163" s="47" t="s">
        <v>2</v>
      </c>
      <c r="B163" s="43" t="s">
        <v>21</v>
      </c>
    </row>
    <row r="164" spans="1:2" hidden="1" x14ac:dyDescent="0.25">
      <c r="A164" s="47" t="s">
        <v>67</v>
      </c>
      <c r="B164" s="43" t="s">
        <v>166</v>
      </c>
    </row>
    <row r="165" spans="1:2" hidden="1" x14ac:dyDescent="0.25">
      <c r="A165" s="47" t="s">
        <v>131</v>
      </c>
      <c r="B165" s="43" t="s">
        <v>217</v>
      </c>
    </row>
    <row r="166" spans="1:2" hidden="1" x14ac:dyDescent="0.25">
      <c r="A166" s="47" t="s">
        <v>186</v>
      </c>
      <c r="B166" s="43" t="s">
        <v>101</v>
      </c>
    </row>
    <row r="167" spans="1:2" hidden="1" x14ac:dyDescent="0.25">
      <c r="A167" s="47" t="s">
        <v>3</v>
      </c>
      <c r="B167" s="43" t="s">
        <v>102</v>
      </c>
    </row>
    <row r="168" spans="1:2" hidden="1" x14ac:dyDescent="0.25">
      <c r="A168" s="47" t="s">
        <v>68</v>
      </c>
      <c r="B168" s="43" t="s">
        <v>86</v>
      </c>
    </row>
    <row r="169" spans="1:2" hidden="1" x14ac:dyDescent="0.25">
      <c r="A169" s="47" t="s">
        <v>187</v>
      </c>
      <c r="B169" s="43" t="s">
        <v>167</v>
      </c>
    </row>
    <row r="170" spans="1:2" hidden="1" x14ac:dyDescent="0.25">
      <c r="A170" s="47" t="s">
        <v>4</v>
      </c>
      <c r="B170" s="43" t="s">
        <v>5</v>
      </c>
    </row>
    <row r="171" spans="1:2" hidden="1" x14ac:dyDescent="0.25">
      <c r="A171" s="47" t="s">
        <v>69</v>
      </c>
      <c r="B171" s="43" t="s">
        <v>103</v>
      </c>
    </row>
    <row r="172" spans="1:2" hidden="1" x14ac:dyDescent="0.2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3"/>
  <sheetViews>
    <sheetView workbookViewId="0">
      <selection activeCell="J1" sqref="J1"/>
    </sheetView>
  </sheetViews>
  <sheetFormatPr baseColWidth="10" defaultColWidth="11.42578125" defaultRowHeight="15" x14ac:dyDescent="0.25"/>
  <cols>
    <col min="1" max="1" width="10.28515625" customWidth="1"/>
    <col min="2" max="2" width="41.7109375" customWidth="1"/>
    <col min="3" max="3" width="14.85546875" customWidth="1"/>
    <col min="4" max="4" width="14.85546875" hidden="1" customWidth="1"/>
    <col min="5" max="5" width="15.85546875" customWidth="1"/>
    <col min="6" max="7" width="15.85546875" hidden="1" customWidth="1"/>
    <col min="8" max="9" width="15.85546875" customWidth="1"/>
  </cols>
  <sheetData>
    <row r="1" spans="1:12" x14ac:dyDescent="0.25">
      <c r="A1" t="s">
        <v>235</v>
      </c>
      <c r="E1" s="13"/>
      <c r="F1" s="13"/>
      <c r="G1" s="13"/>
      <c r="H1" s="13"/>
      <c r="I1" s="13"/>
      <c r="J1" s="13"/>
      <c r="K1" s="13"/>
    </row>
    <row r="2" spans="1:12" x14ac:dyDescent="0.25">
      <c r="E2" s="13"/>
      <c r="F2" s="13"/>
      <c r="G2" s="13"/>
      <c r="H2" s="13"/>
      <c r="I2" s="13"/>
      <c r="J2" s="13"/>
      <c r="K2" s="13"/>
    </row>
    <row r="3" spans="1:12" ht="26.25" x14ac:dyDescent="0.4">
      <c r="A3" s="48" t="s">
        <v>158</v>
      </c>
      <c r="C3" s="45" t="s">
        <v>214</v>
      </c>
      <c r="E3" s="13"/>
      <c r="F3" s="13"/>
      <c r="G3" s="13"/>
      <c r="I3" s="13"/>
      <c r="J3" s="13"/>
      <c r="K3" s="38"/>
    </row>
    <row r="4" spans="1:12" ht="15.75" x14ac:dyDescent="0.25">
      <c r="C4" s="92" t="str">
        <f>CONCATENATE(B227," ",B228)</f>
        <v>November -  Desember  2025</v>
      </c>
      <c r="E4" s="13"/>
      <c r="F4" s="13"/>
      <c r="G4" s="13"/>
      <c r="I4" s="13"/>
      <c r="J4" s="13"/>
      <c r="K4" s="39"/>
    </row>
    <row r="5" spans="1:12" ht="15.75" x14ac:dyDescent="0.25">
      <c r="A5" t="s">
        <v>180</v>
      </c>
      <c r="E5" s="13"/>
      <c r="F5" s="13"/>
      <c r="G5" s="13"/>
      <c r="H5" s="179" t="s">
        <v>236</v>
      </c>
      <c r="I5" s="180" t="s">
        <v>237</v>
      </c>
      <c r="J5" s="180" t="s">
        <v>237</v>
      </c>
      <c r="K5" s="180" t="s">
        <v>237</v>
      </c>
      <c r="L5" s="180" t="s">
        <v>237</v>
      </c>
    </row>
    <row r="6" spans="1:12" ht="15.75" thickBot="1" x14ac:dyDescent="0.3">
      <c r="E6" s="13"/>
      <c r="F6" s="13"/>
      <c r="G6" s="13"/>
      <c r="H6" s="13"/>
      <c r="I6" s="13"/>
      <c r="J6" s="13"/>
      <c r="K6" s="13"/>
    </row>
    <row r="7" spans="1:12" ht="15.75" thickTop="1" x14ac:dyDescent="0.25">
      <c r="A7" s="37"/>
      <c r="B7" s="35"/>
      <c r="C7" s="131">
        <v>42736</v>
      </c>
      <c r="D7" s="35" t="s">
        <v>36</v>
      </c>
      <c r="E7" s="118" t="s">
        <v>18</v>
      </c>
      <c r="F7" s="70"/>
      <c r="G7" s="70"/>
      <c r="H7" s="107" t="s">
        <v>18</v>
      </c>
      <c r="I7" s="25"/>
    </row>
    <row r="8" spans="1:12" ht="15.75" thickBot="1" x14ac:dyDescent="0.3">
      <c r="A8" s="24"/>
      <c r="B8" s="16"/>
      <c r="C8" s="16"/>
      <c r="D8" s="16"/>
      <c r="E8" s="125" t="s">
        <v>19</v>
      </c>
      <c r="F8" s="69" t="s">
        <v>22</v>
      </c>
      <c r="G8" s="69" t="s">
        <v>88</v>
      </c>
      <c r="H8" s="140" t="s">
        <v>181</v>
      </c>
      <c r="I8" s="27" t="s">
        <v>165</v>
      </c>
    </row>
    <row r="9" spans="1:12" x14ac:dyDescent="0.25">
      <c r="A9" s="7" t="s">
        <v>182</v>
      </c>
      <c r="B9" s="1"/>
      <c r="C9" s="1"/>
      <c r="D9" s="1"/>
      <c r="E9" s="116"/>
      <c r="F9" s="73"/>
      <c r="G9" s="73"/>
      <c r="H9" s="113"/>
      <c r="I9" s="20"/>
    </row>
    <row r="10" spans="1:12" ht="15.75" thickBot="1" x14ac:dyDescent="0.3">
      <c r="A10" s="3">
        <v>1200</v>
      </c>
      <c r="B10" t="s">
        <v>135</v>
      </c>
      <c r="C10" s="129">
        <v>83588.820000000007</v>
      </c>
      <c r="D10" s="124">
        <v>-43611.48</v>
      </c>
      <c r="E10" s="139">
        <f t="shared" ref="E10:E49" si="0">C10+D10</f>
        <v>39977.340000000004</v>
      </c>
      <c r="F10" s="61">
        <v>-43611.48</v>
      </c>
      <c r="G10" s="61">
        <v>-43611.48</v>
      </c>
      <c r="H10" s="138">
        <f t="shared" ref="H10:H49" si="1">F10+G10</f>
        <v>-87222.96</v>
      </c>
      <c r="I10" s="6">
        <f t="shared" ref="I10:I49" si="2">E10-H10</f>
        <v>127200.30000000002</v>
      </c>
    </row>
    <row r="11" spans="1:12" ht="15.75" thickBot="1" x14ac:dyDescent="0.3">
      <c r="A11" s="3">
        <v>1240</v>
      </c>
      <c r="B11" t="s">
        <v>197</v>
      </c>
      <c r="C11" s="129">
        <v>0</v>
      </c>
      <c r="D11" s="124"/>
      <c r="E11" s="139">
        <f t="shared" si="0"/>
        <v>0</v>
      </c>
      <c r="F11" s="61"/>
      <c r="G11" s="61"/>
      <c r="H11" s="138">
        <f t="shared" si="1"/>
        <v>0</v>
      </c>
      <c r="I11" s="6">
        <f t="shared" si="2"/>
        <v>0</v>
      </c>
    </row>
    <row r="12" spans="1:12" ht="15.75" thickBot="1" x14ac:dyDescent="0.3">
      <c r="A12" s="3">
        <v>1250</v>
      </c>
      <c r="B12" t="s">
        <v>198</v>
      </c>
      <c r="C12" s="129">
        <v>0</v>
      </c>
      <c r="D12" s="124"/>
      <c r="E12" s="139">
        <f t="shared" si="0"/>
        <v>0</v>
      </c>
      <c r="F12" s="61"/>
      <c r="G12" s="61"/>
      <c r="H12" s="138">
        <f t="shared" si="1"/>
        <v>0</v>
      </c>
      <c r="I12" s="6">
        <f t="shared" si="2"/>
        <v>0</v>
      </c>
    </row>
    <row r="13" spans="1:12" ht="15.75" thickBot="1" x14ac:dyDescent="0.3">
      <c r="A13" s="3">
        <v>1251</v>
      </c>
      <c r="B13" t="s">
        <v>175</v>
      </c>
      <c r="C13" s="129">
        <v>0</v>
      </c>
      <c r="D13" s="124"/>
      <c r="E13" s="139">
        <f t="shared" si="0"/>
        <v>0</v>
      </c>
      <c r="F13" s="61"/>
      <c r="G13" s="61"/>
      <c r="H13" s="138">
        <f t="shared" si="1"/>
        <v>0</v>
      </c>
      <c r="I13" s="6">
        <f t="shared" si="2"/>
        <v>0</v>
      </c>
    </row>
    <row r="14" spans="1:12" ht="15.75" thickBot="1" x14ac:dyDescent="0.3">
      <c r="A14" s="3">
        <v>1252</v>
      </c>
      <c r="B14" t="s">
        <v>136</v>
      </c>
      <c r="C14" s="129">
        <v>0</v>
      </c>
      <c r="D14" s="124"/>
      <c r="E14" s="139">
        <f t="shared" si="0"/>
        <v>0</v>
      </c>
      <c r="F14" s="61"/>
      <c r="G14" s="61"/>
      <c r="H14" s="138">
        <f t="shared" si="1"/>
        <v>0</v>
      </c>
      <c r="I14" s="6">
        <f t="shared" si="2"/>
        <v>0</v>
      </c>
    </row>
    <row r="15" spans="1:12" ht="15.75" thickBot="1" x14ac:dyDescent="0.3">
      <c r="A15" s="3">
        <v>1253</v>
      </c>
      <c r="B15" t="s">
        <v>42</v>
      </c>
      <c r="C15" s="129">
        <v>0</v>
      </c>
      <c r="D15" s="124"/>
      <c r="E15" s="139">
        <f t="shared" si="0"/>
        <v>0</v>
      </c>
      <c r="F15" s="61"/>
      <c r="G15" s="61"/>
      <c r="H15" s="138">
        <f t="shared" si="1"/>
        <v>0</v>
      </c>
      <c r="I15" s="6">
        <f t="shared" si="2"/>
        <v>0</v>
      </c>
    </row>
    <row r="16" spans="1:12" ht="15.75" thickBot="1" x14ac:dyDescent="0.3">
      <c r="A16" s="3">
        <v>1254</v>
      </c>
      <c r="B16" t="s">
        <v>151</v>
      </c>
      <c r="C16" s="129">
        <v>0</v>
      </c>
      <c r="D16" s="124"/>
      <c r="E16" s="139">
        <f t="shared" si="0"/>
        <v>0</v>
      </c>
      <c r="F16" s="61"/>
      <c r="G16" s="61"/>
      <c r="H16" s="138">
        <f t="shared" si="1"/>
        <v>0</v>
      </c>
      <c r="I16" s="6">
        <f t="shared" si="2"/>
        <v>0</v>
      </c>
    </row>
    <row r="17" spans="1:9" ht="15.75" thickBot="1" x14ac:dyDescent="0.3">
      <c r="A17" s="3">
        <v>1255</v>
      </c>
      <c r="B17" t="s">
        <v>93</v>
      </c>
      <c r="C17" s="129">
        <v>0</v>
      </c>
      <c r="D17" s="124"/>
      <c r="E17" s="139">
        <f t="shared" si="0"/>
        <v>0</v>
      </c>
      <c r="F17" s="61"/>
      <c r="G17" s="61"/>
      <c r="H17" s="138">
        <f t="shared" si="1"/>
        <v>0</v>
      </c>
      <c r="I17" s="6">
        <f t="shared" si="2"/>
        <v>0</v>
      </c>
    </row>
    <row r="18" spans="1:9" ht="15.75" thickBot="1" x14ac:dyDescent="0.3">
      <c r="A18" s="3">
        <v>1340</v>
      </c>
      <c r="B18" t="s">
        <v>43</v>
      </c>
      <c r="C18" s="129">
        <v>10000</v>
      </c>
      <c r="D18" s="124"/>
      <c r="E18" s="139">
        <f t="shared" si="0"/>
        <v>10000</v>
      </c>
      <c r="F18" s="61"/>
      <c r="G18" s="61"/>
      <c r="H18" s="138">
        <f t="shared" si="1"/>
        <v>0</v>
      </c>
      <c r="I18" s="6">
        <f t="shared" si="2"/>
        <v>10000</v>
      </c>
    </row>
    <row r="19" spans="1:9" ht="15.75" thickBot="1" x14ac:dyDescent="0.3">
      <c r="A19" s="3">
        <v>1342</v>
      </c>
      <c r="B19" t="s">
        <v>208</v>
      </c>
      <c r="C19" s="129">
        <v>0</v>
      </c>
      <c r="D19" s="124"/>
      <c r="E19" s="139">
        <f t="shared" si="0"/>
        <v>0</v>
      </c>
      <c r="F19" s="61"/>
      <c r="G19" s="61"/>
      <c r="H19" s="138">
        <f t="shared" si="1"/>
        <v>0</v>
      </c>
      <c r="I19" s="6">
        <f t="shared" si="2"/>
        <v>0</v>
      </c>
    </row>
    <row r="20" spans="1:9" ht="15.75" thickBot="1" x14ac:dyDescent="0.3">
      <c r="A20" s="3">
        <v>1391</v>
      </c>
      <c r="B20" t="s">
        <v>112</v>
      </c>
      <c r="C20" s="129">
        <v>1630366.38</v>
      </c>
      <c r="D20" s="124">
        <v>-544085.35</v>
      </c>
      <c r="E20" s="139">
        <f t="shared" si="0"/>
        <v>1086281.0299999998</v>
      </c>
      <c r="F20" s="61">
        <v>-435714</v>
      </c>
      <c r="G20" s="61">
        <v>-548205.62</v>
      </c>
      <c r="H20" s="138">
        <f t="shared" si="1"/>
        <v>-983919.62</v>
      </c>
      <c r="I20" s="6">
        <f t="shared" si="2"/>
        <v>2070200.65</v>
      </c>
    </row>
    <row r="21" spans="1:9" ht="15.75" thickBot="1" x14ac:dyDescent="0.3">
      <c r="A21" s="3">
        <v>1499</v>
      </c>
      <c r="B21" t="s">
        <v>44</v>
      </c>
      <c r="C21" s="129">
        <v>0</v>
      </c>
      <c r="D21" s="124"/>
      <c r="E21" s="139">
        <f t="shared" si="0"/>
        <v>0</v>
      </c>
      <c r="F21" s="61"/>
      <c r="G21" s="61"/>
      <c r="H21" s="138">
        <f t="shared" si="1"/>
        <v>0</v>
      </c>
      <c r="I21" s="6">
        <f t="shared" si="2"/>
        <v>0</v>
      </c>
    </row>
    <row r="22" spans="1:9" ht="15.75" thickBot="1" x14ac:dyDescent="0.3">
      <c r="A22" s="3">
        <v>1500</v>
      </c>
      <c r="B22" t="s">
        <v>81</v>
      </c>
      <c r="C22" s="129">
        <v>65147</v>
      </c>
      <c r="D22" s="124">
        <v>-29388</v>
      </c>
      <c r="E22" s="139">
        <f t="shared" si="0"/>
        <v>35759</v>
      </c>
      <c r="F22" s="61">
        <v>1892</v>
      </c>
      <c r="G22" s="61">
        <v>-31775</v>
      </c>
      <c r="H22" s="138">
        <f t="shared" si="1"/>
        <v>-29883</v>
      </c>
      <c r="I22" s="6">
        <f t="shared" si="2"/>
        <v>65642</v>
      </c>
    </row>
    <row r="23" spans="1:9" ht="15.75" thickBot="1" x14ac:dyDescent="0.3">
      <c r="A23" s="3">
        <v>1530</v>
      </c>
      <c r="B23" t="s">
        <v>45</v>
      </c>
      <c r="C23" s="129">
        <v>0</v>
      </c>
      <c r="D23" s="124"/>
      <c r="E23" s="139">
        <f t="shared" si="0"/>
        <v>0</v>
      </c>
      <c r="F23" s="61"/>
      <c r="G23" s="61"/>
      <c r="H23" s="138">
        <f t="shared" si="1"/>
        <v>0</v>
      </c>
      <c r="I23" s="6">
        <f t="shared" si="2"/>
        <v>0</v>
      </c>
    </row>
    <row r="24" spans="1:9" ht="15.75" thickBot="1" x14ac:dyDescent="0.3">
      <c r="A24" s="3">
        <v>1541</v>
      </c>
      <c r="B24" t="s">
        <v>137</v>
      </c>
      <c r="C24" s="129">
        <v>8973.33</v>
      </c>
      <c r="D24" s="124">
        <v>-8973.33</v>
      </c>
      <c r="E24" s="139">
        <f t="shared" si="0"/>
        <v>0</v>
      </c>
      <c r="F24" s="61">
        <v>-562.09</v>
      </c>
      <c r="G24" s="61">
        <v>8525.84</v>
      </c>
      <c r="H24" s="138">
        <f t="shared" si="1"/>
        <v>7963.75</v>
      </c>
      <c r="I24" s="6">
        <f t="shared" si="2"/>
        <v>-7963.75</v>
      </c>
    </row>
    <row r="25" spans="1:9" ht="15.75" thickBot="1" x14ac:dyDescent="0.3">
      <c r="A25" s="3">
        <v>1542</v>
      </c>
      <c r="B25" t="s">
        <v>221</v>
      </c>
      <c r="C25" s="129">
        <v>0</v>
      </c>
      <c r="D25" s="124"/>
      <c r="E25" s="139">
        <f t="shared" si="0"/>
        <v>0</v>
      </c>
      <c r="F25" s="61"/>
      <c r="G25" s="61"/>
      <c r="H25" s="138">
        <f t="shared" si="1"/>
        <v>0</v>
      </c>
      <c r="I25" s="6">
        <f t="shared" si="2"/>
        <v>0</v>
      </c>
    </row>
    <row r="26" spans="1:9" ht="15.75" thickBot="1" x14ac:dyDescent="0.3">
      <c r="A26" s="3">
        <v>1543</v>
      </c>
      <c r="B26" t="s">
        <v>13</v>
      </c>
      <c r="C26" s="129">
        <v>0</v>
      </c>
      <c r="D26" s="124"/>
      <c r="E26" s="139">
        <f t="shared" si="0"/>
        <v>0</v>
      </c>
      <c r="F26" s="61"/>
      <c r="G26" s="61"/>
      <c r="H26" s="138">
        <f t="shared" si="1"/>
        <v>0</v>
      </c>
      <c r="I26" s="6">
        <f t="shared" si="2"/>
        <v>0</v>
      </c>
    </row>
    <row r="27" spans="1:9" ht="15.75" thickBot="1" x14ac:dyDescent="0.3">
      <c r="A27" s="3">
        <v>1544</v>
      </c>
      <c r="B27" t="s">
        <v>138</v>
      </c>
      <c r="C27" s="129">
        <v>16220.94</v>
      </c>
      <c r="D27" s="124">
        <v>3756.42</v>
      </c>
      <c r="E27" s="139">
        <f t="shared" si="0"/>
        <v>19977.36</v>
      </c>
      <c r="F27" s="61">
        <v>-16090.5</v>
      </c>
      <c r="G27" s="61">
        <v>-33830.15</v>
      </c>
      <c r="H27" s="138">
        <f t="shared" si="1"/>
        <v>-49920.65</v>
      </c>
      <c r="I27" s="6">
        <f t="shared" si="2"/>
        <v>69898.010000000009</v>
      </c>
    </row>
    <row r="28" spans="1:9" ht="15.75" thickBot="1" x14ac:dyDescent="0.3">
      <c r="A28" s="3">
        <v>1545</v>
      </c>
      <c r="B28" t="s">
        <v>222</v>
      </c>
      <c r="C28" s="129">
        <v>0</v>
      </c>
      <c r="D28" s="124">
        <v>0</v>
      </c>
      <c r="E28" s="139">
        <f t="shared" si="0"/>
        <v>0</v>
      </c>
      <c r="F28" s="61">
        <v>0</v>
      </c>
      <c r="G28" s="61">
        <v>0</v>
      </c>
      <c r="H28" s="138">
        <f t="shared" si="1"/>
        <v>0</v>
      </c>
      <c r="I28" s="6">
        <f t="shared" si="2"/>
        <v>0</v>
      </c>
    </row>
    <row r="29" spans="1:9" ht="15.75" thickBot="1" x14ac:dyDescent="0.3">
      <c r="A29" s="3">
        <v>1561</v>
      </c>
      <c r="B29" t="s">
        <v>61</v>
      </c>
      <c r="C29" s="129">
        <v>-69304</v>
      </c>
      <c r="D29" s="124"/>
      <c r="E29" s="139">
        <f t="shared" si="0"/>
        <v>-69304</v>
      </c>
      <c r="F29" s="61"/>
      <c r="G29" s="61">
        <v>-69304</v>
      </c>
      <c r="H29" s="138">
        <f t="shared" si="1"/>
        <v>-69304</v>
      </c>
      <c r="I29" s="6">
        <f t="shared" si="2"/>
        <v>0</v>
      </c>
    </row>
    <row r="30" spans="1:9" ht="15.75" thickBot="1" x14ac:dyDescent="0.3">
      <c r="A30" s="3">
        <v>1562</v>
      </c>
      <c r="B30" t="s">
        <v>62</v>
      </c>
      <c r="C30" s="129">
        <v>73711</v>
      </c>
      <c r="D30" s="124"/>
      <c r="E30" s="139">
        <f t="shared" si="0"/>
        <v>73711</v>
      </c>
      <c r="F30" s="61"/>
      <c r="G30" s="61">
        <v>73711</v>
      </c>
      <c r="H30" s="138">
        <f t="shared" si="1"/>
        <v>73711</v>
      </c>
      <c r="I30" s="6">
        <f t="shared" si="2"/>
        <v>0</v>
      </c>
    </row>
    <row r="31" spans="1:9" ht="15.75" thickBot="1" x14ac:dyDescent="0.3">
      <c r="A31" s="3">
        <v>1563</v>
      </c>
      <c r="B31" t="s">
        <v>139</v>
      </c>
      <c r="C31" s="129">
        <v>-4407</v>
      </c>
      <c r="D31" s="124"/>
      <c r="E31" s="139">
        <f t="shared" si="0"/>
        <v>-4407</v>
      </c>
      <c r="F31" s="61"/>
      <c r="G31" s="61">
        <v>-4407</v>
      </c>
      <c r="H31" s="138">
        <f t="shared" si="1"/>
        <v>-4407</v>
      </c>
      <c r="I31" s="6">
        <f t="shared" si="2"/>
        <v>0</v>
      </c>
    </row>
    <row r="32" spans="1:9" ht="15.75" thickBot="1" x14ac:dyDescent="0.3">
      <c r="A32" s="3">
        <v>1565</v>
      </c>
      <c r="B32" t="s">
        <v>209</v>
      </c>
      <c r="C32" s="129">
        <v>0</v>
      </c>
      <c r="D32" s="124"/>
      <c r="E32" s="139">
        <f t="shared" si="0"/>
        <v>0</v>
      </c>
      <c r="F32" s="61"/>
      <c r="G32" s="61"/>
      <c r="H32" s="138">
        <f t="shared" si="1"/>
        <v>0</v>
      </c>
      <c r="I32" s="6">
        <f t="shared" si="2"/>
        <v>0</v>
      </c>
    </row>
    <row r="33" spans="1:9" ht="15.75" thickBot="1" x14ac:dyDescent="0.3">
      <c r="A33" s="3">
        <v>1570</v>
      </c>
      <c r="B33" t="s">
        <v>127</v>
      </c>
      <c r="C33" s="129">
        <v>0</v>
      </c>
      <c r="D33" s="124"/>
      <c r="E33" s="139">
        <f t="shared" si="0"/>
        <v>0</v>
      </c>
      <c r="F33" s="61">
        <v>40110</v>
      </c>
      <c r="G33" s="61">
        <v>-830110</v>
      </c>
      <c r="H33" s="138">
        <f t="shared" si="1"/>
        <v>-790000</v>
      </c>
      <c r="I33" s="6">
        <f t="shared" si="2"/>
        <v>790000</v>
      </c>
    </row>
    <row r="34" spans="1:9" ht="15.75" thickBot="1" x14ac:dyDescent="0.3">
      <c r="A34" s="3">
        <v>1572</v>
      </c>
      <c r="B34" t="s">
        <v>128</v>
      </c>
      <c r="C34" s="129">
        <v>0</v>
      </c>
      <c r="D34" s="124"/>
      <c r="E34" s="139">
        <f t="shared" si="0"/>
        <v>0</v>
      </c>
      <c r="F34" s="61"/>
      <c r="G34" s="61">
        <v>0</v>
      </c>
      <c r="H34" s="138">
        <f t="shared" si="1"/>
        <v>0</v>
      </c>
      <c r="I34" s="6">
        <f t="shared" si="2"/>
        <v>0</v>
      </c>
    </row>
    <row r="35" spans="1:9" ht="15.75" thickBot="1" x14ac:dyDescent="0.3">
      <c r="A35" s="3">
        <v>1594</v>
      </c>
      <c r="B35" t="s">
        <v>163</v>
      </c>
      <c r="C35" s="129">
        <v>0</v>
      </c>
      <c r="D35" s="124"/>
      <c r="E35" s="139">
        <f t="shared" si="0"/>
        <v>0</v>
      </c>
      <c r="F35" s="61"/>
      <c r="G35" s="61"/>
      <c r="H35" s="138">
        <f t="shared" si="1"/>
        <v>0</v>
      </c>
      <c r="I35" s="6">
        <f t="shared" si="2"/>
        <v>0</v>
      </c>
    </row>
    <row r="36" spans="1:9" ht="15.75" thickBot="1" x14ac:dyDescent="0.3">
      <c r="A36" s="3">
        <v>1640</v>
      </c>
      <c r="B36" t="s">
        <v>176</v>
      </c>
      <c r="C36" s="129">
        <v>5948</v>
      </c>
      <c r="D36" s="124">
        <v>87351</v>
      </c>
      <c r="E36" s="139">
        <f t="shared" si="0"/>
        <v>93299</v>
      </c>
      <c r="F36" s="61">
        <v>62810</v>
      </c>
      <c r="G36" s="61">
        <v>-56862</v>
      </c>
      <c r="H36" s="138">
        <f t="shared" si="1"/>
        <v>5948</v>
      </c>
      <c r="I36" s="6">
        <f t="shared" si="2"/>
        <v>87351</v>
      </c>
    </row>
    <row r="37" spans="1:9" ht="15.75" thickBot="1" x14ac:dyDescent="0.3">
      <c r="A37" s="3">
        <v>1743</v>
      </c>
      <c r="B37" t="s">
        <v>210</v>
      </c>
      <c r="C37" s="129">
        <v>4260.0474999999997</v>
      </c>
      <c r="D37" s="124">
        <v>-4260.1266999999998</v>
      </c>
      <c r="E37" s="139">
        <f t="shared" si="0"/>
        <v>-7.9200000000128057E-2</v>
      </c>
      <c r="F37" s="61">
        <v>216.96039999999999</v>
      </c>
      <c r="G37" s="61">
        <v>229.54300000000001</v>
      </c>
      <c r="H37" s="138">
        <f t="shared" si="1"/>
        <v>446.5034</v>
      </c>
      <c r="I37" s="6">
        <f t="shared" si="2"/>
        <v>-446.58260000000013</v>
      </c>
    </row>
    <row r="38" spans="1:9" ht="15.75" thickBot="1" x14ac:dyDescent="0.3">
      <c r="A38" s="3">
        <v>1745</v>
      </c>
      <c r="B38" t="s">
        <v>199</v>
      </c>
      <c r="C38" s="129">
        <v>0</v>
      </c>
      <c r="D38" s="124"/>
      <c r="E38" s="139">
        <f t="shared" si="0"/>
        <v>0</v>
      </c>
      <c r="F38" s="61">
        <v>49500</v>
      </c>
      <c r="G38" s="61">
        <v>-49500</v>
      </c>
      <c r="H38" s="138">
        <f t="shared" si="1"/>
        <v>0</v>
      </c>
      <c r="I38" s="6">
        <f t="shared" si="2"/>
        <v>0</v>
      </c>
    </row>
    <row r="39" spans="1:9" ht="15.75" thickBot="1" x14ac:dyDescent="0.3">
      <c r="A39" s="3">
        <v>1900</v>
      </c>
      <c r="B39" t="s">
        <v>14</v>
      </c>
      <c r="C39" s="129">
        <v>0</v>
      </c>
      <c r="D39" s="124"/>
      <c r="E39" s="139">
        <f t="shared" si="0"/>
        <v>0</v>
      </c>
      <c r="F39" s="61"/>
      <c r="G39" s="61"/>
      <c r="H39" s="138">
        <f t="shared" si="1"/>
        <v>0</v>
      </c>
      <c r="I39" s="6">
        <f t="shared" si="2"/>
        <v>0</v>
      </c>
    </row>
    <row r="40" spans="1:9" ht="15.75" thickBot="1" x14ac:dyDescent="0.3">
      <c r="A40" s="3">
        <v>1901</v>
      </c>
      <c r="B40" t="s">
        <v>211</v>
      </c>
      <c r="C40" s="129">
        <v>0</v>
      </c>
      <c r="D40" s="124"/>
      <c r="E40" s="139">
        <f t="shared" si="0"/>
        <v>0</v>
      </c>
      <c r="F40" s="61"/>
      <c r="G40" s="61"/>
      <c r="H40" s="138">
        <f t="shared" si="1"/>
        <v>0</v>
      </c>
      <c r="I40" s="6">
        <f t="shared" si="2"/>
        <v>0</v>
      </c>
    </row>
    <row r="41" spans="1:9" ht="15.75" thickBot="1" x14ac:dyDescent="0.3">
      <c r="A41" s="3">
        <v>1909</v>
      </c>
      <c r="B41" t="s">
        <v>15</v>
      </c>
      <c r="C41" s="129">
        <v>0</v>
      </c>
      <c r="D41" s="124"/>
      <c r="E41" s="139">
        <f t="shared" si="0"/>
        <v>0</v>
      </c>
      <c r="F41" s="61"/>
      <c r="G41" s="61"/>
      <c r="H41" s="138">
        <f t="shared" si="1"/>
        <v>0</v>
      </c>
      <c r="I41" s="6">
        <f t="shared" si="2"/>
        <v>0</v>
      </c>
    </row>
    <row r="42" spans="1:9" ht="15.75" thickBot="1" x14ac:dyDescent="0.3">
      <c r="A42" s="3">
        <v>1920</v>
      </c>
      <c r="B42" t="s">
        <v>82</v>
      </c>
      <c r="C42" s="129">
        <v>0</v>
      </c>
      <c r="D42" s="124">
        <v>0</v>
      </c>
      <c r="E42" s="139">
        <f t="shared" si="0"/>
        <v>0</v>
      </c>
      <c r="F42" s="61">
        <v>0</v>
      </c>
      <c r="G42" s="61">
        <v>0</v>
      </c>
      <c r="H42" s="138">
        <f t="shared" si="1"/>
        <v>0</v>
      </c>
      <c r="I42" s="6">
        <f t="shared" si="2"/>
        <v>0</v>
      </c>
    </row>
    <row r="43" spans="1:9" ht="15.75" thickBot="1" x14ac:dyDescent="0.3">
      <c r="A43" s="3">
        <v>1921</v>
      </c>
      <c r="B43" t="s">
        <v>94</v>
      </c>
      <c r="C43" s="129">
        <v>804422.84</v>
      </c>
      <c r="D43" s="124">
        <v>-139493.47</v>
      </c>
      <c r="E43" s="139">
        <f t="shared" si="0"/>
        <v>664929.37</v>
      </c>
      <c r="F43" s="61">
        <v>-73901.88</v>
      </c>
      <c r="G43" s="61">
        <v>279432.52</v>
      </c>
      <c r="H43" s="138">
        <f t="shared" si="1"/>
        <v>205530.64</v>
      </c>
      <c r="I43" s="6">
        <f t="shared" si="2"/>
        <v>459398.73</v>
      </c>
    </row>
    <row r="44" spans="1:9" ht="15.75" thickBot="1" x14ac:dyDescent="0.3">
      <c r="A44" s="3">
        <v>1923</v>
      </c>
      <c r="B44" t="s">
        <v>152</v>
      </c>
      <c r="C44" s="129">
        <v>1877790.17</v>
      </c>
      <c r="D44" s="124">
        <v>425156.37</v>
      </c>
      <c r="E44" s="139">
        <f t="shared" si="0"/>
        <v>2302946.54</v>
      </c>
      <c r="F44" s="61">
        <v>232142.54</v>
      </c>
      <c r="G44" s="61">
        <v>401643.34</v>
      </c>
      <c r="H44" s="138">
        <f t="shared" si="1"/>
        <v>633785.88</v>
      </c>
      <c r="I44" s="6">
        <f t="shared" si="2"/>
        <v>1669160.6600000001</v>
      </c>
    </row>
    <row r="45" spans="1:9" ht="15.75" thickBot="1" x14ac:dyDescent="0.3">
      <c r="A45" s="3">
        <v>1925</v>
      </c>
      <c r="B45" t="s">
        <v>95</v>
      </c>
      <c r="C45" s="129">
        <v>1227630.3700000001</v>
      </c>
      <c r="D45" s="124">
        <v>-801519.45</v>
      </c>
      <c r="E45" s="139">
        <f t="shared" si="0"/>
        <v>426110.92000000016</v>
      </c>
      <c r="F45" s="61">
        <v>-1354847.1</v>
      </c>
      <c r="G45" s="61">
        <v>747967.84</v>
      </c>
      <c r="H45" s="138">
        <f t="shared" si="1"/>
        <v>-606879.26000000013</v>
      </c>
      <c r="I45" s="6">
        <f t="shared" si="2"/>
        <v>1032990.1800000003</v>
      </c>
    </row>
    <row r="46" spans="1:9" ht="15.75" thickBot="1" x14ac:dyDescent="0.3">
      <c r="A46" s="3">
        <v>1927</v>
      </c>
      <c r="B46" t="s">
        <v>96</v>
      </c>
      <c r="C46" s="129">
        <v>1649400.41</v>
      </c>
      <c r="D46" s="124">
        <v>738111.32</v>
      </c>
      <c r="E46" s="139">
        <f t="shared" si="0"/>
        <v>2387511.73</v>
      </c>
      <c r="F46" s="61">
        <v>-700000</v>
      </c>
      <c r="G46" s="61">
        <v>478591.5</v>
      </c>
      <c r="H46" s="138">
        <f t="shared" si="1"/>
        <v>-221408.5</v>
      </c>
      <c r="I46" s="6">
        <f t="shared" si="2"/>
        <v>2608920.23</v>
      </c>
    </row>
    <row r="47" spans="1:9" ht="15.75" thickBot="1" x14ac:dyDescent="0.3">
      <c r="A47" s="3">
        <v>1931</v>
      </c>
      <c r="B47" t="s">
        <v>46</v>
      </c>
      <c r="C47" s="129">
        <v>40046.199999999997</v>
      </c>
      <c r="D47" s="124">
        <v>11</v>
      </c>
      <c r="E47" s="139">
        <f t="shared" si="0"/>
        <v>40057.199999999997</v>
      </c>
      <c r="F47" s="61">
        <v>-4966</v>
      </c>
      <c r="G47" s="61">
        <v>38</v>
      </c>
      <c r="H47" s="138">
        <f t="shared" si="1"/>
        <v>-4928</v>
      </c>
      <c r="I47" s="6">
        <f t="shared" si="2"/>
        <v>44985.2</v>
      </c>
    </row>
    <row r="48" spans="1:9" ht="15.75" thickBot="1" x14ac:dyDescent="0.3">
      <c r="A48" s="3">
        <v>1936</v>
      </c>
      <c r="B48" t="s">
        <v>30</v>
      </c>
      <c r="C48" s="129">
        <v>0</v>
      </c>
      <c r="D48" s="124"/>
      <c r="E48" s="139">
        <f t="shared" si="0"/>
        <v>0</v>
      </c>
      <c r="F48" s="61"/>
      <c r="G48" s="61"/>
      <c r="H48" s="138">
        <f t="shared" si="1"/>
        <v>0</v>
      </c>
      <c r="I48" s="6">
        <f t="shared" si="2"/>
        <v>0</v>
      </c>
    </row>
    <row r="49" spans="1:9" ht="15.75" thickBot="1" x14ac:dyDescent="0.3">
      <c r="A49" s="3">
        <v>1950</v>
      </c>
      <c r="B49" t="s">
        <v>63</v>
      </c>
      <c r="C49" s="129">
        <v>1.07</v>
      </c>
      <c r="D49" s="124">
        <v>0</v>
      </c>
      <c r="E49" s="139">
        <f t="shared" si="0"/>
        <v>1.07</v>
      </c>
      <c r="F49" s="61">
        <v>-5</v>
      </c>
      <c r="G49" s="61">
        <v>0</v>
      </c>
      <c r="H49" s="138">
        <f t="shared" si="1"/>
        <v>-5</v>
      </c>
      <c r="I49" s="6">
        <f t="shared" si="2"/>
        <v>6.07</v>
      </c>
    </row>
    <row r="50" spans="1:9" ht="15.75" thickBot="1" x14ac:dyDescent="0.3">
      <c r="A50" s="23" t="s">
        <v>51</v>
      </c>
      <c r="B50" s="18"/>
      <c r="C50" s="163">
        <f>SUM(C9)+SUM(C10:C49)</f>
        <v>7423795.5775000006</v>
      </c>
      <c r="D50" s="168"/>
      <c r="E50" s="158">
        <f>SUM(E10:E49)</f>
        <v>7106850.4808</v>
      </c>
      <c r="F50" s="95"/>
      <c r="G50" s="95"/>
      <c r="H50" s="170">
        <f>SUM(H10:H49)</f>
        <v>-1920492.2166000004</v>
      </c>
      <c r="I50" s="14">
        <f>E50-H50</f>
        <v>9027342.6973999999</v>
      </c>
    </row>
    <row r="51" spans="1:9" x14ac:dyDescent="0.25">
      <c r="A51" s="3"/>
      <c r="E51" s="91"/>
      <c r="F51" s="17"/>
      <c r="G51" s="17"/>
      <c r="H51" s="98"/>
      <c r="I51" s="2"/>
    </row>
    <row r="52" spans="1:9" x14ac:dyDescent="0.25">
      <c r="A52" s="7" t="s">
        <v>216</v>
      </c>
      <c r="B52" s="1"/>
      <c r="C52" s="1"/>
      <c r="D52" s="1"/>
      <c r="E52" s="134"/>
      <c r="F52" s="42"/>
      <c r="G52" s="42"/>
      <c r="H52" s="112"/>
      <c r="I52" s="4"/>
    </row>
    <row r="53" spans="1:9" x14ac:dyDescent="0.25">
      <c r="A53" s="3">
        <v>2050</v>
      </c>
      <c r="B53" t="s">
        <v>16</v>
      </c>
      <c r="C53" s="129">
        <v>-4968290.3600000003</v>
      </c>
      <c r="D53" s="124">
        <v>-516093</v>
      </c>
      <c r="E53" s="139">
        <f t="shared" ref="E53:E87" si="3">C53+D53</f>
        <v>-5484383.3600000003</v>
      </c>
      <c r="F53" s="61">
        <v>-232686.39</v>
      </c>
      <c r="G53" s="61">
        <v>-527418.68000000005</v>
      </c>
      <c r="H53" s="138">
        <f t="shared" ref="H53:H87" si="4">F53+G53</f>
        <v>-760105.07000000007</v>
      </c>
      <c r="I53" s="6">
        <f t="shared" ref="I53:I87" si="5">E53-H53</f>
        <v>-4724278.29</v>
      </c>
    </row>
    <row r="54" spans="1:9" x14ac:dyDescent="0.25">
      <c r="A54" s="3">
        <v>2220</v>
      </c>
      <c r="B54" t="s">
        <v>223</v>
      </c>
      <c r="C54" s="129">
        <v>-1630366.38</v>
      </c>
      <c r="D54" s="124">
        <v>544085.35</v>
      </c>
      <c r="E54" s="139">
        <f t="shared" si="3"/>
        <v>-1086281.0299999998</v>
      </c>
      <c r="F54" s="61">
        <v>435714</v>
      </c>
      <c r="G54" s="61">
        <v>548205.62</v>
      </c>
      <c r="H54" s="138">
        <f t="shared" si="4"/>
        <v>983919.62</v>
      </c>
      <c r="I54" s="6">
        <f t="shared" si="5"/>
        <v>-2070200.65</v>
      </c>
    </row>
    <row r="55" spans="1:9" x14ac:dyDescent="0.25">
      <c r="A55" s="3">
        <v>2399</v>
      </c>
      <c r="B55" t="s">
        <v>153</v>
      </c>
      <c r="C55" s="129">
        <v>0</v>
      </c>
      <c r="D55" s="124"/>
      <c r="E55" s="139">
        <f t="shared" si="3"/>
        <v>0</v>
      </c>
      <c r="F55" s="61"/>
      <c r="G55" s="61"/>
      <c r="H55" s="138">
        <f t="shared" si="4"/>
        <v>0</v>
      </c>
      <c r="I55" s="6">
        <f t="shared" si="5"/>
        <v>0</v>
      </c>
    </row>
    <row r="56" spans="1:9" x14ac:dyDescent="0.25">
      <c r="A56" s="3">
        <v>2400</v>
      </c>
      <c r="B56" t="s">
        <v>177</v>
      </c>
      <c r="C56" s="129">
        <v>-664577.32999999996</v>
      </c>
      <c r="D56" s="124">
        <v>381164.81</v>
      </c>
      <c r="E56" s="139">
        <f t="shared" si="3"/>
        <v>-283412.51999999996</v>
      </c>
      <c r="F56" s="61">
        <v>1889591.5</v>
      </c>
      <c r="G56" s="61">
        <v>-245688.18</v>
      </c>
      <c r="H56" s="138">
        <f t="shared" si="4"/>
        <v>1643903.32</v>
      </c>
      <c r="I56" s="6">
        <f t="shared" si="5"/>
        <v>-1927315.84</v>
      </c>
    </row>
    <row r="57" spans="1:9" x14ac:dyDescent="0.25">
      <c r="A57" s="3">
        <v>2600</v>
      </c>
      <c r="B57" t="s">
        <v>97</v>
      </c>
      <c r="C57" s="129">
        <v>0</v>
      </c>
      <c r="D57" s="124">
        <v>0</v>
      </c>
      <c r="E57" s="139">
        <f t="shared" si="3"/>
        <v>0</v>
      </c>
      <c r="F57" s="61">
        <v>0</v>
      </c>
      <c r="G57" s="61">
        <v>0</v>
      </c>
      <c r="H57" s="138">
        <f t="shared" si="4"/>
        <v>0</v>
      </c>
      <c r="I57" s="6">
        <f t="shared" si="5"/>
        <v>0</v>
      </c>
    </row>
    <row r="58" spans="1:9" x14ac:dyDescent="0.25">
      <c r="A58" s="3">
        <v>2601</v>
      </c>
      <c r="B58" t="s">
        <v>31</v>
      </c>
      <c r="C58" s="129">
        <v>0</v>
      </c>
      <c r="D58" s="124">
        <v>0</v>
      </c>
      <c r="E58" s="139">
        <f t="shared" si="3"/>
        <v>0</v>
      </c>
      <c r="F58" s="61">
        <v>0</v>
      </c>
      <c r="G58" s="61">
        <v>0</v>
      </c>
      <c r="H58" s="138">
        <f t="shared" si="4"/>
        <v>0</v>
      </c>
      <c r="I58" s="6">
        <f t="shared" si="5"/>
        <v>0</v>
      </c>
    </row>
    <row r="59" spans="1:9" x14ac:dyDescent="0.25">
      <c r="A59" s="3">
        <v>2700</v>
      </c>
      <c r="B59" t="s">
        <v>232</v>
      </c>
      <c r="C59" s="129">
        <v>0</v>
      </c>
      <c r="D59" s="124">
        <v>0</v>
      </c>
      <c r="E59" s="139">
        <f t="shared" si="3"/>
        <v>0</v>
      </c>
      <c r="F59" s="61">
        <v>0</v>
      </c>
      <c r="G59" s="61">
        <v>0</v>
      </c>
      <c r="H59" s="138">
        <f t="shared" si="4"/>
        <v>0</v>
      </c>
      <c r="I59" s="6">
        <f t="shared" si="5"/>
        <v>0</v>
      </c>
    </row>
    <row r="60" spans="1:9" x14ac:dyDescent="0.25">
      <c r="A60" s="3">
        <v>2702</v>
      </c>
      <c r="B60" t="s">
        <v>47</v>
      </c>
      <c r="C60" s="129">
        <v>-1E-4</v>
      </c>
      <c r="D60" s="124">
        <v>0</v>
      </c>
      <c r="E60" s="139">
        <f t="shared" si="3"/>
        <v>-1E-4</v>
      </c>
      <c r="F60" s="61">
        <v>0</v>
      </c>
      <c r="G60" s="61">
        <v>0</v>
      </c>
      <c r="H60" s="138">
        <f t="shared" si="4"/>
        <v>0</v>
      </c>
      <c r="I60" s="6">
        <f t="shared" si="5"/>
        <v>-1E-4</v>
      </c>
    </row>
    <row r="61" spans="1:9" x14ac:dyDescent="0.25">
      <c r="A61" s="3">
        <v>2705</v>
      </c>
      <c r="B61" t="s">
        <v>154</v>
      </c>
      <c r="C61" s="129">
        <v>0</v>
      </c>
      <c r="D61" s="124"/>
      <c r="E61" s="139">
        <f t="shared" si="3"/>
        <v>0</v>
      </c>
      <c r="F61" s="61"/>
      <c r="G61" s="61">
        <v>0</v>
      </c>
      <c r="H61" s="138">
        <f t="shared" si="4"/>
        <v>0</v>
      </c>
      <c r="I61" s="6">
        <f t="shared" si="5"/>
        <v>0</v>
      </c>
    </row>
    <row r="62" spans="1:9" x14ac:dyDescent="0.25">
      <c r="A62" s="3">
        <v>2710</v>
      </c>
      <c r="B62" t="s">
        <v>98</v>
      </c>
      <c r="C62" s="129">
        <v>0</v>
      </c>
      <c r="D62" s="124">
        <v>0</v>
      </c>
      <c r="E62" s="139">
        <f t="shared" si="3"/>
        <v>0</v>
      </c>
      <c r="F62" s="61">
        <v>0</v>
      </c>
      <c r="G62" s="61">
        <v>0</v>
      </c>
      <c r="H62" s="138">
        <f t="shared" si="4"/>
        <v>0</v>
      </c>
      <c r="I62" s="6">
        <f t="shared" si="5"/>
        <v>0</v>
      </c>
    </row>
    <row r="63" spans="1:9" x14ac:dyDescent="0.25">
      <c r="A63" s="3">
        <v>2711</v>
      </c>
      <c r="B63" t="s">
        <v>200</v>
      </c>
      <c r="C63" s="129">
        <v>0</v>
      </c>
      <c r="D63" s="124">
        <v>0</v>
      </c>
      <c r="E63" s="139">
        <f t="shared" si="3"/>
        <v>0</v>
      </c>
      <c r="F63" s="61"/>
      <c r="G63" s="61"/>
      <c r="H63" s="138">
        <f t="shared" si="4"/>
        <v>0</v>
      </c>
      <c r="I63" s="6">
        <f t="shared" si="5"/>
        <v>0</v>
      </c>
    </row>
    <row r="64" spans="1:9" x14ac:dyDescent="0.25">
      <c r="A64" s="3">
        <v>2713</v>
      </c>
      <c r="B64" t="s">
        <v>140</v>
      </c>
      <c r="C64" s="129">
        <v>0</v>
      </c>
      <c r="D64" s="124"/>
      <c r="E64" s="139">
        <f t="shared" si="3"/>
        <v>0</v>
      </c>
      <c r="F64" s="61"/>
      <c r="G64" s="61"/>
      <c r="H64" s="138">
        <f t="shared" si="4"/>
        <v>0</v>
      </c>
      <c r="I64" s="6">
        <f t="shared" si="5"/>
        <v>0</v>
      </c>
    </row>
    <row r="65" spans="1:9" x14ac:dyDescent="0.25">
      <c r="A65" s="3">
        <v>2715</v>
      </c>
      <c r="B65" t="s">
        <v>113</v>
      </c>
      <c r="C65" s="129">
        <v>0</v>
      </c>
      <c r="D65" s="124"/>
      <c r="E65" s="139">
        <f t="shared" si="3"/>
        <v>0</v>
      </c>
      <c r="F65" s="61"/>
      <c r="G65" s="61">
        <v>0</v>
      </c>
      <c r="H65" s="138">
        <f t="shared" si="4"/>
        <v>0</v>
      </c>
      <c r="I65" s="6">
        <f t="shared" si="5"/>
        <v>0</v>
      </c>
    </row>
    <row r="66" spans="1:9" x14ac:dyDescent="0.25">
      <c r="A66" s="3">
        <v>2740</v>
      </c>
      <c r="B66" t="s">
        <v>17</v>
      </c>
      <c r="C66" s="129">
        <v>1E-4</v>
      </c>
      <c r="D66" s="124">
        <v>0</v>
      </c>
      <c r="E66" s="139">
        <f t="shared" si="3"/>
        <v>1E-4</v>
      </c>
      <c r="F66" s="61">
        <v>101518</v>
      </c>
      <c r="G66" s="61">
        <v>0</v>
      </c>
      <c r="H66" s="138">
        <f t="shared" si="4"/>
        <v>101518</v>
      </c>
      <c r="I66" s="6">
        <f t="shared" si="5"/>
        <v>-101517.9999</v>
      </c>
    </row>
    <row r="67" spans="1:9" x14ac:dyDescent="0.25">
      <c r="A67" s="3">
        <v>2741</v>
      </c>
      <c r="B67" t="s">
        <v>224</v>
      </c>
      <c r="C67" s="129">
        <v>0</v>
      </c>
      <c r="D67" s="124"/>
      <c r="E67" s="139">
        <f t="shared" si="3"/>
        <v>0</v>
      </c>
      <c r="F67" s="61"/>
      <c r="G67" s="61"/>
      <c r="H67" s="138">
        <f t="shared" si="4"/>
        <v>0</v>
      </c>
      <c r="I67" s="6">
        <f t="shared" si="5"/>
        <v>0</v>
      </c>
    </row>
    <row r="68" spans="1:9" x14ac:dyDescent="0.25">
      <c r="A68" s="3">
        <v>2770</v>
      </c>
      <c r="B68" t="s">
        <v>83</v>
      </c>
      <c r="C68" s="129">
        <v>0</v>
      </c>
      <c r="D68" s="124"/>
      <c r="E68" s="139">
        <f t="shared" si="3"/>
        <v>0</v>
      </c>
      <c r="F68" s="61"/>
      <c r="G68" s="61"/>
      <c r="H68" s="138">
        <f t="shared" si="4"/>
        <v>0</v>
      </c>
      <c r="I68" s="6">
        <f t="shared" si="5"/>
        <v>0</v>
      </c>
    </row>
    <row r="69" spans="1:9" x14ac:dyDescent="0.25">
      <c r="A69" s="3">
        <v>2771</v>
      </c>
      <c r="B69" t="s">
        <v>141</v>
      </c>
      <c r="C69" s="129">
        <v>0</v>
      </c>
      <c r="D69" s="124"/>
      <c r="E69" s="139">
        <f t="shared" si="3"/>
        <v>0</v>
      </c>
      <c r="F69" s="61"/>
      <c r="G69" s="61"/>
      <c r="H69" s="138">
        <f t="shared" si="4"/>
        <v>0</v>
      </c>
      <c r="I69" s="6">
        <f t="shared" si="5"/>
        <v>0</v>
      </c>
    </row>
    <row r="70" spans="1:9" x14ac:dyDescent="0.25">
      <c r="A70" s="3">
        <v>2785</v>
      </c>
      <c r="B70" t="s">
        <v>48</v>
      </c>
      <c r="C70" s="129">
        <v>0</v>
      </c>
      <c r="D70" s="124"/>
      <c r="E70" s="139">
        <f t="shared" si="3"/>
        <v>0</v>
      </c>
      <c r="F70" s="61"/>
      <c r="G70" s="61"/>
      <c r="H70" s="138">
        <f t="shared" si="4"/>
        <v>0</v>
      </c>
      <c r="I70" s="6">
        <f t="shared" si="5"/>
        <v>0</v>
      </c>
    </row>
    <row r="71" spans="1:9" x14ac:dyDescent="0.25">
      <c r="A71" s="3">
        <v>2900</v>
      </c>
      <c r="B71" t="s">
        <v>99</v>
      </c>
      <c r="C71" s="129">
        <v>-8228</v>
      </c>
      <c r="D71" s="124"/>
      <c r="E71" s="139">
        <f t="shared" si="3"/>
        <v>-8228</v>
      </c>
      <c r="F71" s="61">
        <v>87754.46</v>
      </c>
      <c r="G71" s="61">
        <v>-8228</v>
      </c>
      <c r="H71" s="138">
        <f t="shared" si="4"/>
        <v>79526.460000000006</v>
      </c>
      <c r="I71" s="6">
        <f t="shared" si="5"/>
        <v>-87754.46</v>
      </c>
    </row>
    <row r="72" spans="1:9" x14ac:dyDescent="0.25">
      <c r="A72" s="3">
        <v>2905</v>
      </c>
      <c r="B72" t="s">
        <v>114</v>
      </c>
      <c r="C72" s="129">
        <v>-119849</v>
      </c>
      <c r="D72" s="124">
        <v>-98127</v>
      </c>
      <c r="E72" s="139">
        <f t="shared" si="3"/>
        <v>-217976</v>
      </c>
      <c r="F72" s="61">
        <v>-41261</v>
      </c>
      <c r="G72" s="61">
        <v>-78588</v>
      </c>
      <c r="H72" s="138">
        <f t="shared" si="4"/>
        <v>-119849</v>
      </c>
      <c r="I72" s="6">
        <f t="shared" si="5"/>
        <v>-98127</v>
      </c>
    </row>
    <row r="73" spans="1:9" x14ac:dyDescent="0.25">
      <c r="A73" s="3">
        <v>2920</v>
      </c>
      <c r="B73" t="s">
        <v>178</v>
      </c>
      <c r="C73" s="129">
        <v>0</v>
      </c>
      <c r="D73" s="124"/>
      <c r="E73" s="139">
        <f t="shared" si="3"/>
        <v>0</v>
      </c>
      <c r="F73" s="61"/>
      <c r="G73" s="61"/>
      <c r="H73" s="138">
        <f t="shared" si="4"/>
        <v>0</v>
      </c>
      <c r="I73" s="6">
        <f t="shared" si="5"/>
        <v>0</v>
      </c>
    </row>
    <row r="74" spans="1:9" x14ac:dyDescent="0.25">
      <c r="A74" s="3">
        <v>2930</v>
      </c>
      <c r="B74" t="s">
        <v>233</v>
      </c>
      <c r="C74" s="129">
        <v>0</v>
      </c>
      <c r="D74" s="124">
        <v>0</v>
      </c>
      <c r="E74" s="139">
        <f t="shared" si="3"/>
        <v>0</v>
      </c>
      <c r="F74" s="61">
        <v>0.5</v>
      </c>
      <c r="G74" s="61">
        <v>0</v>
      </c>
      <c r="H74" s="138">
        <f t="shared" si="4"/>
        <v>0.5</v>
      </c>
      <c r="I74" s="6">
        <f t="shared" si="5"/>
        <v>-0.5</v>
      </c>
    </row>
    <row r="75" spans="1:9" x14ac:dyDescent="0.25">
      <c r="A75" s="3">
        <v>2940</v>
      </c>
      <c r="B75" t="s">
        <v>64</v>
      </c>
      <c r="C75" s="129">
        <v>-22484.59</v>
      </c>
      <c r="D75" s="124">
        <v>5915.38</v>
      </c>
      <c r="E75" s="139">
        <f t="shared" si="3"/>
        <v>-16569.21</v>
      </c>
      <c r="F75" s="61">
        <v>-1597.56</v>
      </c>
      <c r="G75" s="61">
        <v>-10817.06</v>
      </c>
      <c r="H75" s="138">
        <f t="shared" si="4"/>
        <v>-12414.619999999999</v>
      </c>
      <c r="I75" s="6">
        <f t="shared" si="5"/>
        <v>-4154.59</v>
      </c>
    </row>
    <row r="76" spans="1:9" x14ac:dyDescent="0.25">
      <c r="A76" s="3">
        <v>2941</v>
      </c>
      <c r="B76" t="s">
        <v>49</v>
      </c>
      <c r="C76" s="129">
        <v>0</v>
      </c>
      <c r="D76" s="124"/>
      <c r="E76" s="139">
        <f t="shared" si="3"/>
        <v>0</v>
      </c>
      <c r="F76" s="61"/>
      <c r="G76" s="61"/>
      <c r="H76" s="138">
        <f t="shared" si="4"/>
        <v>0</v>
      </c>
      <c r="I76" s="6">
        <f t="shared" si="5"/>
        <v>0</v>
      </c>
    </row>
    <row r="77" spans="1:9" x14ac:dyDescent="0.25">
      <c r="A77" s="3">
        <v>2945</v>
      </c>
      <c r="B77" t="s">
        <v>142</v>
      </c>
      <c r="C77" s="129">
        <v>0</v>
      </c>
      <c r="D77" s="124"/>
      <c r="E77" s="139">
        <f t="shared" si="3"/>
        <v>0</v>
      </c>
      <c r="F77" s="61">
        <v>0</v>
      </c>
      <c r="G77" s="61"/>
      <c r="H77" s="138">
        <f t="shared" si="4"/>
        <v>0</v>
      </c>
      <c r="I77" s="6">
        <f t="shared" si="5"/>
        <v>0</v>
      </c>
    </row>
    <row r="78" spans="1:9" x14ac:dyDescent="0.25">
      <c r="A78" s="3">
        <v>2960</v>
      </c>
      <c r="B78" t="s">
        <v>212</v>
      </c>
      <c r="C78" s="129">
        <v>0</v>
      </c>
      <c r="D78" s="124"/>
      <c r="E78" s="139">
        <f t="shared" si="3"/>
        <v>0</v>
      </c>
      <c r="F78" s="61">
        <v>3993</v>
      </c>
      <c r="G78" s="61"/>
      <c r="H78" s="138">
        <f t="shared" si="4"/>
        <v>3993</v>
      </c>
      <c r="I78" s="6">
        <f t="shared" si="5"/>
        <v>-3993</v>
      </c>
    </row>
    <row r="79" spans="1:9" x14ac:dyDescent="0.25">
      <c r="A79" s="3">
        <v>2990</v>
      </c>
      <c r="B79" t="s">
        <v>32</v>
      </c>
      <c r="C79" s="129">
        <v>-10000</v>
      </c>
      <c r="D79" s="124"/>
      <c r="E79" s="139">
        <f t="shared" si="3"/>
        <v>-10000</v>
      </c>
      <c r="F79" s="61"/>
      <c r="G79" s="61"/>
      <c r="H79" s="138">
        <f t="shared" si="4"/>
        <v>0</v>
      </c>
      <c r="I79" s="6">
        <f t="shared" si="5"/>
        <v>-10000</v>
      </c>
    </row>
    <row r="80" spans="1:9" x14ac:dyDescent="0.25">
      <c r="A80" s="3">
        <v>2991</v>
      </c>
      <c r="B80" t="s">
        <v>62</v>
      </c>
      <c r="C80" s="129">
        <v>0</v>
      </c>
      <c r="D80" s="124"/>
      <c r="E80" s="139">
        <f t="shared" si="3"/>
        <v>0</v>
      </c>
      <c r="F80" s="61"/>
      <c r="G80" s="61">
        <v>0</v>
      </c>
      <c r="H80" s="138">
        <f t="shared" si="4"/>
        <v>0</v>
      </c>
      <c r="I80" s="6">
        <f t="shared" si="5"/>
        <v>0</v>
      </c>
    </row>
    <row r="81" spans="1:9" x14ac:dyDescent="0.25">
      <c r="A81" s="3">
        <v>2992</v>
      </c>
      <c r="B81" t="s">
        <v>33</v>
      </c>
      <c r="C81" s="129">
        <v>0</v>
      </c>
      <c r="D81" s="124"/>
      <c r="E81" s="139">
        <f t="shared" si="3"/>
        <v>0</v>
      </c>
      <c r="F81" s="61"/>
      <c r="G81" s="61"/>
      <c r="H81" s="138">
        <f t="shared" si="4"/>
        <v>0</v>
      </c>
      <c r="I81" s="6">
        <f t="shared" si="5"/>
        <v>0</v>
      </c>
    </row>
    <row r="82" spans="1:9" x14ac:dyDescent="0.25">
      <c r="A82" s="3">
        <v>2993</v>
      </c>
      <c r="B82" t="s">
        <v>213</v>
      </c>
      <c r="C82" s="129">
        <v>0</v>
      </c>
      <c r="D82" s="124"/>
      <c r="E82" s="139">
        <f t="shared" si="3"/>
        <v>0</v>
      </c>
      <c r="F82" s="61"/>
      <c r="G82" s="61"/>
      <c r="H82" s="138">
        <f t="shared" si="4"/>
        <v>0</v>
      </c>
      <c r="I82" s="6">
        <f t="shared" si="5"/>
        <v>0</v>
      </c>
    </row>
    <row r="83" spans="1:9" x14ac:dyDescent="0.25">
      <c r="A83" s="3">
        <v>2994</v>
      </c>
      <c r="B83" t="s">
        <v>163</v>
      </c>
      <c r="C83" s="129">
        <v>0</v>
      </c>
      <c r="D83" s="124"/>
      <c r="E83" s="139">
        <f t="shared" si="3"/>
        <v>0</v>
      </c>
      <c r="F83" s="61"/>
      <c r="G83" s="61"/>
      <c r="H83" s="138">
        <f t="shared" si="4"/>
        <v>0</v>
      </c>
      <c r="I83" s="6">
        <f t="shared" si="5"/>
        <v>0</v>
      </c>
    </row>
    <row r="84" spans="1:9" x14ac:dyDescent="0.25">
      <c r="A84" s="3">
        <v>2995</v>
      </c>
      <c r="B84" t="s">
        <v>179</v>
      </c>
      <c r="C84" s="129">
        <v>0</v>
      </c>
      <c r="D84" s="124"/>
      <c r="E84" s="139">
        <f t="shared" si="3"/>
        <v>0</v>
      </c>
      <c r="F84" s="61"/>
      <c r="G84" s="61">
        <v>0</v>
      </c>
      <c r="H84" s="138">
        <f t="shared" si="4"/>
        <v>0</v>
      </c>
      <c r="I84" s="6">
        <f t="shared" si="5"/>
        <v>0</v>
      </c>
    </row>
    <row r="85" spans="1:9" x14ac:dyDescent="0.25">
      <c r="A85" s="3">
        <v>2996</v>
      </c>
      <c r="B85" t="s">
        <v>234</v>
      </c>
      <c r="C85" s="129">
        <v>0</v>
      </c>
      <c r="D85" s="124"/>
      <c r="E85" s="139">
        <f t="shared" si="3"/>
        <v>0</v>
      </c>
      <c r="F85" s="61"/>
      <c r="G85" s="61"/>
      <c r="H85" s="138">
        <f t="shared" si="4"/>
        <v>0</v>
      </c>
      <c r="I85" s="6">
        <f t="shared" si="5"/>
        <v>0</v>
      </c>
    </row>
    <row r="86" spans="1:9" x14ac:dyDescent="0.25">
      <c r="A86" s="3">
        <v>2997</v>
      </c>
      <c r="B86" t="s">
        <v>100</v>
      </c>
      <c r="C86" s="129">
        <v>0</v>
      </c>
      <c r="D86" s="124"/>
      <c r="E86" s="139">
        <f t="shared" si="3"/>
        <v>0</v>
      </c>
      <c r="F86" s="61"/>
      <c r="G86" s="61"/>
      <c r="H86" s="138">
        <f t="shared" si="4"/>
        <v>0</v>
      </c>
      <c r="I86" s="6">
        <f t="shared" si="5"/>
        <v>0</v>
      </c>
    </row>
    <row r="87" spans="1:9" x14ac:dyDescent="0.25">
      <c r="A87" s="3">
        <v>2998</v>
      </c>
      <c r="B87" t="s">
        <v>143</v>
      </c>
      <c r="C87" s="129">
        <v>0</v>
      </c>
      <c r="D87" s="124"/>
      <c r="E87" s="139">
        <f t="shared" si="3"/>
        <v>0</v>
      </c>
      <c r="F87" s="61"/>
      <c r="G87" s="61"/>
      <c r="H87" s="138">
        <f t="shared" si="4"/>
        <v>0</v>
      </c>
      <c r="I87" s="6">
        <f t="shared" si="5"/>
        <v>0</v>
      </c>
    </row>
    <row r="88" spans="1:9" ht="15.75" thickBot="1" x14ac:dyDescent="0.3">
      <c r="A88" s="3"/>
      <c r="B88" t="s">
        <v>183</v>
      </c>
      <c r="D88">
        <v>-0.40239999999999998</v>
      </c>
      <c r="E88" s="139">
        <f>D88</f>
        <v>-0.40239999999999998</v>
      </c>
      <c r="F88" s="61"/>
      <c r="G88" s="61">
        <v>1.49E-2</v>
      </c>
      <c r="H88" s="138">
        <f>G88</f>
        <v>1.49E-2</v>
      </c>
      <c r="I88" s="6">
        <f t="shared" ref="I88:I89" si="6">E88-H88</f>
        <v>-0.4173</v>
      </c>
    </row>
    <row r="89" spans="1:9" ht="15.75" thickBot="1" x14ac:dyDescent="0.3">
      <c r="A89" s="133" t="s">
        <v>52</v>
      </c>
      <c r="B89" s="104"/>
      <c r="C89" s="137">
        <f>SUM(C53:C87)+SUM(C88)</f>
        <v>-7423795.6600000001</v>
      </c>
      <c r="D89" s="137"/>
      <c r="E89" s="159">
        <f>SUM(E53:E87)+SUM(E88)</f>
        <v>-7106850.5224000001</v>
      </c>
      <c r="F89" s="141"/>
      <c r="G89" s="141"/>
      <c r="H89" s="148">
        <f>SUM(H53:H87)+SUM(H88)</f>
        <v>1920492.2249</v>
      </c>
      <c r="I89" s="166">
        <f t="shared" si="6"/>
        <v>-9027342.7473000009</v>
      </c>
    </row>
    <row r="90" spans="1:9" ht="15.75" thickTop="1" x14ac:dyDescent="0.25"/>
    <row r="227" spans="1:2" x14ac:dyDescent="0.25">
      <c r="B227" t="str">
        <f>VLOOKUP(RIGHT(202511,2),MANED4,2,FALSE)&amp;" - "</f>
        <v xml:space="preserve">November - </v>
      </c>
    </row>
    <row r="228" spans="1:2" x14ac:dyDescent="0.25">
      <c r="B228" t="str">
        <f>VLOOKUP(RIGHT(202512,2),MANED4,2,FALSE)&amp;"  "&amp;LEFT(202512,4)</f>
        <v>Desember  2025</v>
      </c>
    </row>
    <row r="232" spans="1:2" x14ac:dyDescent="0.25">
      <c r="A232" s="47" t="s">
        <v>65</v>
      </c>
      <c r="B232" s="43" t="s">
        <v>184</v>
      </c>
    </row>
    <row r="233" spans="1:2" x14ac:dyDescent="0.25">
      <c r="A233" s="47" t="s">
        <v>130</v>
      </c>
      <c r="B233" s="43" t="s">
        <v>1</v>
      </c>
    </row>
    <row r="234" spans="1:2" x14ac:dyDescent="0.25">
      <c r="A234" s="47" t="s">
        <v>185</v>
      </c>
      <c r="B234" s="43" t="s">
        <v>66</v>
      </c>
    </row>
    <row r="235" spans="1:2" x14ac:dyDescent="0.25">
      <c r="A235" s="47" t="s">
        <v>2</v>
      </c>
      <c r="B235" s="43" t="s">
        <v>21</v>
      </c>
    </row>
    <row r="236" spans="1:2" x14ac:dyDescent="0.25">
      <c r="A236" s="47" t="s">
        <v>67</v>
      </c>
      <c r="B236" s="43" t="s">
        <v>166</v>
      </c>
    </row>
    <row r="237" spans="1:2" x14ac:dyDescent="0.25">
      <c r="A237" s="47" t="s">
        <v>131</v>
      </c>
      <c r="B237" s="43" t="s">
        <v>217</v>
      </c>
    </row>
    <row r="238" spans="1:2" x14ac:dyDescent="0.25">
      <c r="A238" s="47" t="s">
        <v>186</v>
      </c>
      <c r="B238" s="43" t="s">
        <v>101</v>
      </c>
    </row>
    <row r="239" spans="1:2" x14ac:dyDescent="0.25">
      <c r="A239" s="47" t="s">
        <v>3</v>
      </c>
      <c r="B239" s="43" t="s">
        <v>102</v>
      </c>
    </row>
    <row r="240" spans="1:2" x14ac:dyDescent="0.25">
      <c r="A240" s="47" t="s">
        <v>68</v>
      </c>
      <c r="B240" s="43" t="s">
        <v>86</v>
      </c>
    </row>
    <row r="241" spans="1:2" x14ac:dyDescent="0.25">
      <c r="A241" s="47" t="s">
        <v>187</v>
      </c>
      <c r="B241" s="43" t="s">
        <v>167</v>
      </c>
    </row>
    <row r="242" spans="1:2" x14ac:dyDescent="0.25">
      <c r="A242" s="47" t="s">
        <v>4</v>
      </c>
      <c r="B242" s="43" t="s">
        <v>5</v>
      </c>
    </row>
    <row r="243" spans="1:2" x14ac:dyDescent="0.25">
      <c r="A243" s="47" t="s">
        <v>69</v>
      </c>
      <c r="B243" s="43" t="s">
        <v>103</v>
      </c>
    </row>
  </sheetData>
  <mergeCells count="1">
    <mergeCell ref="H5:L5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10.28515625" customWidth="1"/>
    <col min="2" max="2" width="41.7109375" customWidth="1"/>
    <col min="3" max="3" width="14.85546875" customWidth="1"/>
    <col min="4" max="4" width="14.85546875" hidden="1" customWidth="1"/>
    <col min="5" max="5" width="15.85546875" customWidth="1"/>
    <col min="6" max="7" width="15.85546875" hidden="1" customWidth="1"/>
    <col min="8" max="9" width="15.85546875" customWidth="1"/>
  </cols>
  <sheetData>
    <row r="1" spans="1:11" x14ac:dyDescent="0.25">
      <c r="A1" t="s">
        <v>156</v>
      </c>
      <c r="E1" s="13"/>
      <c r="F1" s="13"/>
      <c r="G1" s="13"/>
      <c r="H1" s="13"/>
      <c r="I1" s="13"/>
      <c r="J1" s="13"/>
      <c r="K1" s="13"/>
    </row>
    <row r="2" spans="1:11" x14ac:dyDescent="0.25">
      <c r="E2" s="13"/>
      <c r="F2" s="13"/>
      <c r="G2" s="13"/>
      <c r="H2" s="13"/>
      <c r="I2" s="13"/>
      <c r="J2" s="13"/>
      <c r="K2" s="13"/>
    </row>
    <row r="3" spans="1:11" ht="26.25" x14ac:dyDescent="0.4">
      <c r="A3" s="48" t="e">
        <f ca="1">_xll.OneStop.ReportPlayer.OSRFunctions.OSRGet("ThisCompany","CompanyName")</f>
        <v>#NAME?</v>
      </c>
      <c r="E3" s="13"/>
      <c r="F3" s="13"/>
      <c r="G3" s="13"/>
      <c r="H3" s="45" t="s">
        <v>214</v>
      </c>
      <c r="I3" s="13"/>
      <c r="J3" s="13"/>
      <c r="K3" s="38" t="s">
        <v>115</v>
      </c>
    </row>
    <row r="4" spans="1:11" ht="15.75" x14ac:dyDescent="0.25">
      <c r="E4" s="13"/>
      <c r="F4" s="13"/>
      <c r="G4" s="13"/>
      <c r="H4" s="92" t="e">
        <f ca="1">CONCATENATE(B154," ",B155)</f>
        <v>#NAME?</v>
      </c>
      <c r="I4" s="13"/>
      <c r="J4" s="13"/>
      <c r="K4" s="39">
        <f ca="1">NOW()</f>
        <v>46133.427832754627</v>
      </c>
    </row>
    <row r="5" spans="1:11" x14ac:dyDescent="0.25">
      <c r="A5" t="s">
        <v>180</v>
      </c>
      <c r="E5" s="13"/>
      <c r="F5" s="13"/>
      <c r="G5" s="13"/>
      <c r="H5" s="13"/>
      <c r="I5" s="13"/>
      <c r="J5" s="13"/>
      <c r="K5" s="13"/>
    </row>
    <row r="6" spans="1:11" ht="15.75" thickBot="1" x14ac:dyDescent="0.3">
      <c r="E6" s="13"/>
      <c r="F6" s="13"/>
      <c r="G6" s="13"/>
      <c r="H6" s="13"/>
      <c r="I6" s="13"/>
      <c r="J6" s="13"/>
      <c r="K6" s="13"/>
    </row>
    <row r="7" spans="1:11" ht="15.75" thickTop="1" x14ac:dyDescent="0.25">
      <c r="A7" s="37"/>
      <c r="B7" s="35"/>
      <c r="C7" s="131">
        <v>42736</v>
      </c>
      <c r="D7" s="35" t="s">
        <v>36</v>
      </c>
      <c r="E7" s="118" t="s">
        <v>18</v>
      </c>
      <c r="F7" s="70"/>
      <c r="G7" s="70"/>
      <c r="H7" s="107" t="s">
        <v>18</v>
      </c>
      <c r="I7" s="25"/>
    </row>
    <row r="8" spans="1:11" ht="15.75" thickBot="1" x14ac:dyDescent="0.3">
      <c r="A8" s="24"/>
      <c r="B8" s="16"/>
      <c r="C8" s="16"/>
      <c r="D8" s="16"/>
      <c r="E8" s="125" t="s">
        <v>19</v>
      </c>
      <c r="F8" s="69" t="s">
        <v>22</v>
      </c>
      <c r="G8" s="69" t="s">
        <v>88</v>
      </c>
      <c r="H8" s="140" t="s">
        <v>181</v>
      </c>
      <c r="I8" s="27" t="s">
        <v>165</v>
      </c>
    </row>
    <row r="9" spans="1:11" x14ac:dyDescent="0.25">
      <c r="A9" s="7" t="s">
        <v>182</v>
      </c>
      <c r="B9" s="1"/>
      <c r="C9" s="1"/>
      <c r="D9" s="1"/>
      <c r="E9" s="116"/>
      <c r="F9" s="73"/>
      <c r="G9" s="73"/>
      <c r="H9" s="113"/>
      <c r="I9" s="20"/>
    </row>
    <row r="10" spans="1:11" ht="15.75" thickBot="1" x14ac:dyDescent="0.3">
      <c r="A10" s="3" t="e">
        <f ca="1">_xll.OneStop.ReportPlayer.OSRFunctions.OSRGet("Journal_Account","AccountNo")</f>
        <v>#NAME?</v>
      </c>
      <c r="B10" t="e">
        <f ca="1">_xll.OneStop.ReportPlayer.OSRFunctions.OSRGet("Journal_Account","AccountName")</f>
        <v>#NAME?</v>
      </c>
      <c r="C10" s="128" t="e">
        <f ca="1">_xll.OneStop.ReportPlayer.OSRFunctions.OSRGet("Journal_SubEntry","AmtCur")</f>
        <v>#NAME?</v>
      </c>
      <c r="D10" t="e">
        <f ca="1">_xll.OneStop.ReportPlayer.OSRFunctions.OSRGet("Journal_SubEntry","AmtCur")</f>
        <v>#NAME?</v>
      </c>
      <c r="E10" s="91" t="e">
        <f ca="1">C10+D10</f>
        <v>#NAME?</v>
      </c>
      <c r="F10" s="17" t="e">
        <f ca="1">_xll.OneStop.ReportPlayer.OSRFunctions.OSRGet("Journal_SubEntry","AmtCur")</f>
        <v>#NAME?</v>
      </c>
      <c r="G10" s="17" t="e">
        <f ca="1">_xll.OneStop.ReportPlayer.OSRFunctions.OSRGet("Journal_SubEntry","AmtCur")</f>
        <v>#NAME?</v>
      </c>
      <c r="H10" s="98" t="e">
        <f ca="1">F10+G10</f>
        <v>#NAME?</v>
      </c>
      <c r="I10" s="2" t="e">
        <f t="shared" ref="I10:I11" ca="1" si="0">E10-H10</f>
        <v>#NAME?</v>
      </c>
    </row>
    <row r="11" spans="1:11" ht="15.75" thickBot="1" x14ac:dyDescent="0.3">
      <c r="A11" s="23" t="s">
        <v>51</v>
      </c>
      <c r="B11" s="18"/>
      <c r="C11" s="177" t="e">
        <f ca="1">SUM(_xll.OneStop.ReportPlayer.OSRFunctions.OSRRef(C9))+SUM(_xll.OneStop.ReportPlayer.OSRFunctions.OSRRef(C10))</f>
        <v>#NAME?</v>
      </c>
      <c r="D11" s="18"/>
      <c r="E11" s="146" t="e">
        <f ca="1">SUM(_xll.OneStop.ReportPlayer.OSRFunctions.OSRRef(E10))</f>
        <v>#NAME?</v>
      </c>
      <c r="F11" s="103"/>
      <c r="G11" s="103"/>
      <c r="H11" s="152" t="e">
        <f ca="1">SUM(_xll.OneStop.ReportPlayer.OSRFunctions.OSRRef(H10))</f>
        <v>#NAME?</v>
      </c>
      <c r="I11" s="51" t="e">
        <f t="shared" ca="1" si="0"/>
        <v>#NAME?</v>
      </c>
    </row>
    <row r="12" spans="1:11" x14ac:dyDescent="0.25">
      <c r="A12" s="3"/>
      <c r="E12" s="91"/>
      <c r="F12" s="17"/>
      <c r="G12" s="17"/>
      <c r="H12" s="98"/>
      <c r="I12" s="2"/>
    </row>
    <row r="13" spans="1:11" x14ac:dyDescent="0.25">
      <c r="A13" s="7" t="s">
        <v>216</v>
      </c>
      <c r="B13" s="1"/>
      <c r="C13" s="1"/>
      <c r="D13" s="1"/>
      <c r="E13" s="134"/>
      <c r="F13" s="42"/>
      <c r="G13" s="42"/>
      <c r="H13" s="112"/>
      <c r="I13" s="4"/>
    </row>
    <row r="14" spans="1:11" x14ac:dyDescent="0.25">
      <c r="A14" s="3" t="e">
        <f ca="1">_xll.OneStop.ReportPlayer.OSRFunctions.OSRGet("Journal_Account","AccountNo")</f>
        <v>#NAME?</v>
      </c>
      <c r="B14" t="e">
        <f ca="1">_xll.OneStop.ReportPlayer.OSRFunctions.OSRGet("Journal_Account","AccountName")</f>
        <v>#NAME?</v>
      </c>
      <c r="C14" s="128" t="e">
        <f ca="1">_xll.OneStop.ReportPlayer.OSRFunctions.OSRGet("Journal_SubEntry","AmtCur")</f>
        <v>#NAME?</v>
      </c>
      <c r="D14" t="e">
        <f ca="1">_xll.OneStop.ReportPlayer.OSRFunctions.OSRGet("Journal_SubEntry","AmtCur")</f>
        <v>#NAME?</v>
      </c>
      <c r="E14" s="91" t="e">
        <f ca="1">C14+D14</f>
        <v>#NAME?</v>
      </c>
      <c r="F14" s="17" t="e">
        <f ca="1">_xll.OneStop.ReportPlayer.OSRFunctions.OSRGet("Journal_SubEntry","AmtCur")</f>
        <v>#NAME?</v>
      </c>
      <c r="G14" s="17" t="e">
        <f ca="1">_xll.OneStop.ReportPlayer.OSRFunctions.OSRGet("Journal_SubEntry","AmtCur")</f>
        <v>#NAME?</v>
      </c>
      <c r="H14" s="98" t="e">
        <f ca="1">F14+G14</f>
        <v>#NAME?</v>
      </c>
      <c r="I14" s="2" t="e">
        <f t="shared" ref="I14:I16" ca="1" si="1">E14-H14</f>
        <v>#NAME?</v>
      </c>
    </row>
    <row r="15" spans="1:11" ht="15.75" thickBot="1" x14ac:dyDescent="0.3">
      <c r="A15" s="3"/>
      <c r="B15" t="s">
        <v>183</v>
      </c>
      <c r="D15" t="e">
        <f ca="1">_xll.OneStop.ReportPlayer.OSRFunctions.OSRGet("Journal_SubEntry","AmtCur")</f>
        <v>#NAME?</v>
      </c>
      <c r="E15" s="91" t="e">
        <f ca="1">D15</f>
        <v>#NAME?</v>
      </c>
      <c r="F15" s="17"/>
      <c r="G15" s="17" t="e">
        <f ca="1">_xll.OneStop.ReportPlayer.OSRFunctions.OSRGet("Journal_SubEntry","AmtCur")</f>
        <v>#NAME?</v>
      </c>
      <c r="H15" s="98" t="e">
        <f ca="1">G15</f>
        <v>#NAME?</v>
      </c>
      <c r="I15" s="2" t="e">
        <f t="shared" ca="1" si="1"/>
        <v>#NAME?</v>
      </c>
    </row>
    <row r="16" spans="1:11" ht="15.75" thickBot="1" x14ac:dyDescent="0.3">
      <c r="A16" s="133" t="s">
        <v>52</v>
      </c>
      <c r="B16" s="104"/>
      <c r="C16" s="167" t="e">
        <f ca="1">SUM(_xll.OneStop.ReportPlayer.OSRFunctions.OSRRef(C14))+SUM(_xll.OneStop.ReportPlayer.OSRFunctions.OSRRef(C15))</f>
        <v>#NAME?</v>
      </c>
      <c r="D16" s="104"/>
      <c r="E16" s="150" t="e">
        <f ca="1">SUM(_xll.OneStop.ReportPlayer.OSRFunctions.OSRRef(E14))+SUM(_xll.OneStop.ReportPlayer.OSRFunctions.OSRRef(E15))</f>
        <v>#NAME?</v>
      </c>
      <c r="F16" s="114"/>
      <c r="G16" s="114"/>
      <c r="H16" s="144" t="e">
        <f ca="1">SUM(_xll.OneStop.ReportPlayer.OSRFunctions.OSRRef(H14))+SUM(_xll.OneStop.ReportPlayer.OSRFunctions.OSRRef(H15))</f>
        <v>#NAME?</v>
      </c>
      <c r="I16" s="161" t="e">
        <f t="shared" ca="1" si="1"/>
        <v>#NAME?</v>
      </c>
    </row>
    <row r="17" ht="15.75" thickTop="1" x14ac:dyDescent="0.25"/>
    <row r="154" spans="1:2" x14ac:dyDescent="0.25">
      <c r="B154" t="e">
        <f ca="1">VLOOKUP(RIGHT(_xll.OneStop.ReportPlayer.OSRFunctions.OSRGet("Period","PeriodId"),2),MANED4,2,FALSE)&amp;" - "</f>
        <v>#NAME?</v>
      </c>
    </row>
    <row r="155" spans="1:2" x14ac:dyDescent="0.25">
      <c r="B155" t="e">
        <f ca="1">VLOOKUP(RIGHT(_xll.OneStop.ReportPlayer.OSRFunctions.OSRGet("Period","PeriodId"),2),MANED4,2,FALSE)&amp;"  "&amp;LEFT(_xll.OneStop.ReportPlayer.OSRFunctions.OSRGet("Period","PeriodId"),4)</f>
        <v>#NAME?</v>
      </c>
    </row>
    <row r="159" spans="1:2" x14ac:dyDescent="0.25">
      <c r="A159" s="47" t="s">
        <v>65</v>
      </c>
      <c r="B159" s="43" t="s">
        <v>184</v>
      </c>
    </row>
    <row r="160" spans="1:2" x14ac:dyDescent="0.25">
      <c r="A160" s="47" t="s">
        <v>130</v>
      </c>
      <c r="B160" s="43" t="s">
        <v>1</v>
      </c>
    </row>
    <row r="161" spans="1:2" x14ac:dyDescent="0.25">
      <c r="A161" s="47" t="s">
        <v>185</v>
      </c>
      <c r="B161" s="43" t="s">
        <v>66</v>
      </c>
    </row>
    <row r="162" spans="1:2" x14ac:dyDescent="0.25">
      <c r="A162" s="47" t="s">
        <v>2</v>
      </c>
      <c r="B162" s="43" t="s">
        <v>21</v>
      </c>
    </row>
    <row r="163" spans="1:2" x14ac:dyDescent="0.25">
      <c r="A163" s="47" t="s">
        <v>67</v>
      </c>
      <c r="B163" s="43" t="s">
        <v>166</v>
      </c>
    </row>
    <row r="164" spans="1:2" x14ac:dyDescent="0.25">
      <c r="A164" s="47" t="s">
        <v>131</v>
      </c>
      <c r="B164" s="43" t="s">
        <v>217</v>
      </c>
    </row>
    <row r="165" spans="1:2" x14ac:dyDescent="0.25">
      <c r="A165" s="47" t="s">
        <v>186</v>
      </c>
      <c r="B165" s="43" t="s">
        <v>101</v>
      </c>
    </row>
    <row r="166" spans="1:2" x14ac:dyDescent="0.25">
      <c r="A166" s="47" t="s">
        <v>3</v>
      </c>
      <c r="B166" s="43" t="s">
        <v>102</v>
      </c>
    </row>
    <row r="167" spans="1:2" x14ac:dyDescent="0.25">
      <c r="A167" s="47" t="s">
        <v>68</v>
      </c>
      <c r="B167" s="43" t="s">
        <v>86</v>
      </c>
    </row>
    <row r="168" spans="1:2" x14ac:dyDescent="0.25">
      <c r="A168" s="47" t="s">
        <v>187</v>
      </c>
      <c r="B168" s="43" t="s">
        <v>167</v>
      </c>
    </row>
    <row r="169" spans="1:2" x14ac:dyDescent="0.25">
      <c r="A169" s="47" t="s">
        <v>4</v>
      </c>
      <c r="B169" s="43" t="s">
        <v>5</v>
      </c>
    </row>
    <row r="170" spans="1:2" x14ac:dyDescent="0.25">
      <c r="A170" s="47" t="s">
        <v>69</v>
      </c>
      <c r="B170" s="43" t="s">
        <v>103</v>
      </c>
    </row>
  </sheetData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34"/>
  <sheetViews>
    <sheetView workbookViewId="0">
      <selection activeCell="H9" sqref="H9"/>
    </sheetView>
  </sheetViews>
  <sheetFormatPr baseColWidth="10" defaultColWidth="11.42578125" defaultRowHeight="15" x14ac:dyDescent="0.25"/>
  <cols>
    <col min="1" max="1" width="10.85546875" customWidth="1"/>
    <col min="2" max="2" width="33.7109375" customWidth="1"/>
    <col min="3" max="4" width="15.140625" customWidth="1"/>
    <col min="5" max="5" width="15" style="13" customWidth="1"/>
    <col min="6" max="6" width="15.140625" style="13" customWidth="1"/>
  </cols>
  <sheetData>
    <row r="1" spans="1:9" x14ac:dyDescent="0.25">
      <c r="A1" t="s">
        <v>235</v>
      </c>
    </row>
    <row r="3" spans="1:9" ht="26.25" x14ac:dyDescent="0.4">
      <c r="A3" s="48" t="s">
        <v>158</v>
      </c>
      <c r="C3" s="45" t="s">
        <v>214</v>
      </c>
    </row>
    <row r="4" spans="1:9" ht="15.75" x14ac:dyDescent="0.25">
      <c r="A4" t="s">
        <v>53</v>
      </c>
      <c r="C4" s="74" t="str">
        <f>CONCATENATE(B217," ",B218)</f>
        <v>November -  Desember  2025</v>
      </c>
    </row>
    <row r="5" spans="1:9" ht="15.75" x14ac:dyDescent="0.25">
      <c r="A5" s="1">
        <v>2</v>
      </c>
      <c r="B5" s="1" t="s">
        <v>164</v>
      </c>
      <c r="C5" s="1"/>
      <c r="D5" s="1"/>
      <c r="E5" s="179" t="s">
        <v>236</v>
      </c>
      <c r="F5" s="180" t="s">
        <v>237</v>
      </c>
      <c r="G5" s="180" t="s">
        <v>237</v>
      </c>
      <c r="H5" s="180" t="s">
        <v>237</v>
      </c>
      <c r="I5" s="180" t="s">
        <v>237</v>
      </c>
    </row>
    <row r="6" spans="1:9" ht="15.75" thickBot="1" x14ac:dyDescent="0.3"/>
    <row r="7" spans="1:9" s="1" customFormat="1" ht="15.75" thickTop="1" x14ac:dyDescent="0.25">
      <c r="A7" s="37"/>
      <c r="B7" s="35"/>
      <c r="C7" s="78" t="s">
        <v>157</v>
      </c>
      <c r="D7" s="76" t="s">
        <v>157</v>
      </c>
      <c r="E7" s="60" t="s">
        <v>18</v>
      </c>
      <c r="F7" s="68" t="s">
        <v>18</v>
      </c>
    </row>
    <row r="8" spans="1:9" s="1" customFormat="1" ht="15.75" thickBot="1" x14ac:dyDescent="0.3">
      <c r="A8" s="24"/>
      <c r="B8" s="16"/>
      <c r="C8" s="63" t="s">
        <v>19</v>
      </c>
      <c r="D8" s="75" t="s">
        <v>181</v>
      </c>
      <c r="E8" s="56" t="s">
        <v>19</v>
      </c>
      <c r="F8" s="67" t="s">
        <v>181</v>
      </c>
    </row>
    <row r="9" spans="1:9" s="1" customFormat="1" x14ac:dyDescent="0.25">
      <c r="A9" s="7" t="s">
        <v>0</v>
      </c>
      <c r="C9" s="71"/>
      <c r="D9" s="81"/>
      <c r="E9" s="53"/>
      <c r="F9" s="72"/>
    </row>
    <row r="10" spans="1:9" x14ac:dyDescent="0.25">
      <c r="A10" s="3">
        <v>3005</v>
      </c>
      <c r="B10" t="s">
        <v>168</v>
      </c>
      <c r="C10" s="30">
        <f t="shared" ref="C10:C12" si="0">0</f>
        <v>0</v>
      </c>
      <c r="D10" s="31">
        <f t="shared" ref="D10:D11" si="1">0</f>
        <v>0</v>
      </c>
      <c r="E10" s="22">
        <f>--50000</f>
        <v>50000</v>
      </c>
      <c r="F10" s="29">
        <f>--63428.57</f>
        <v>63428.57</v>
      </c>
    </row>
    <row r="11" spans="1:9" x14ac:dyDescent="0.25">
      <c r="A11" s="3">
        <v>3006</v>
      </c>
      <c r="B11" t="s">
        <v>23</v>
      </c>
      <c r="C11" s="30">
        <f t="shared" si="0"/>
        <v>0</v>
      </c>
      <c r="D11" s="31">
        <f t="shared" si="1"/>
        <v>0</v>
      </c>
      <c r="E11" s="22">
        <f>0</f>
        <v>0</v>
      </c>
      <c r="F11" s="29">
        <f>--72643.2</f>
        <v>72643.199999999997</v>
      </c>
    </row>
    <row r="12" spans="1:9" x14ac:dyDescent="0.25">
      <c r="A12" s="3">
        <v>3020</v>
      </c>
      <c r="B12" t="s">
        <v>202</v>
      </c>
      <c r="C12" s="30">
        <f t="shared" si="0"/>
        <v>0</v>
      </c>
      <c r="D12" s="31">
        <f>--120000</f>
        <v>120000</v>
      </c>
      <c r="E12" s="22">
        <f>--56000</f>
        <v>56000</v>
      </c>
      <c r="F12" s="29">
        <f>--156800</f>
        <v>156800</v>
      </c>
    </row>
    <row r="13" spans="1:9" x14ac:dyDescent="0.25">
      <c r="A13" s="3">
        <v>3051</v>
      </c>
      <c r="B13" t="s">
        <v>70</v>
      </c>
      <c r="C13" s="30">
        <f>--234298.7679</f>
        <v>234298.76790000001</v>
      </c>
      <c r="D13" s="31">
        <f>--423455.3571</f>
        <v>423455.35710000002</v>
      </c>
      <c r="E13" s="22">
        <f>--848717.2933</f>
        <v>848717.29330000002</v>
      </c>
      <c r="F13" s="29">
        <f>--823241.3481</f>
        <v>823241.34809999994</v>
      </c>
    </row>
    <row r="14" spans="1:9" x14ac:dyDescent="0.25">
      <c r="A14" s="3">
        <v>3201</v>
      </c>
      <c r="B14" t="s">
        <v>89</v>
      </c>
      <c r="C14" s="30">
        <f>--9920</f>
        <v>9920</v>
      </c>
      <c r="D14" s="31">
        <f>--22395</f>
        <v>22395</v>
      </c>
      <c r="E14" s="22">
        <f>--136210</f>
        <v>136210</v>
      </c>
      <c r="F14" s="29">
        <f>--124031.41</f>
        <v>124031.41</v>
      </c>
    </row>
    <row r="15" spans="1:9" x14ac:dyDescent="0.25">
      <c r="A15" s="3">
        <v>3390</v>
      </c>
      <c r="B15" t="s">
        <v>71</v>
      </c>
      <c r="C15" s="30">
        <f t="shared" ref="C15:D16" si="2">0</f>
        <v>0</v>
      </c>
      <c r="D15" s="31">
        <f t="shared" si="2"/>
        <v>0</v>
      </c>
      <c r="E15" s="22">
        <f t="shared" ref="E15:F15" si="3">0</f>
        <v>0</v>
      </c>
      <c r="F15" s="29">
        <f t="shared" si="3"/>
        <v>0</v>
      </c>
    </row>
    <row r="16" spans="1:9" x14ac:dyDescent="0.25">
      <c r="A16" s="3">
        <v>3400</v>
      </c>
      <c r="B16" t="s">
        <v>6</v>
      </c>
      <c r="C16" s="30">
        <f t="shared" si="2"/>
        <v>0</v>
      </c>
      <c r="D16" s="31">
        <f t="shared" si="2"/>
        <v>0</v>
      </c>
      <c r="E16" s="22">
        <f>--151500</f>
        <v>151500</v>
      </c>
      <c r="F16" s="29">
        <f>--133000</f>
        <v>133000</v>
      </c>
    </row>
    <row r="17" spans="1:6" x14ac:dyDescent="0.25">
      <c r="A17" s="3">
        <v>3405</v>
      </c>
      <c r="B17" t="s">
        <v>161</v>
      </c>
      <c r="C17" s="30">
        <f>--199000</f>
        <v>199000</v>
      </c>
      <c r="D17" s="31">
        <f>--70250</f>
        <v>70250</v>
      </c>
      <c r="E17" s="22">
        <f>--598000</f>
        <v>598000</v>
      </c>
      <c r="F17" s="29">
        <f>--190250</f>
        <v>190250</v>
      </c>
    </row>
    <row r="18" spans="1:6" x14ac:dyDescent="0.25">
      <c r="A18" s="3">
        <v>3406</v>
      </c>
      <c r="B18" t="s">
        <v>54</v>
      </c>
      <c r="C18" s="30">
        <f t="shared" ref="C18:D21" si="4">0</f>
        <v>0</v>
      </c>
      <c r="D18" s="31">
        <f t="shared" si="4"/>
        <v>0</v>
      </c>
      <c r="E18" s="22">
        <f>--10000</f>
        <v>10000</v>
      </c>
      <c r="F18" s="29">
        <f>0</f>
        <v>0</v>
      </c>
    </row>
    <row r="19" spans="1:6" x14ac:dyDescent="0.25">
      <c r="A19" s="3">
        <v>3930</v>
      </c>
      <c r="B19" t="s">
        <v>56</v>
      </c>
      <c r="C19" s="30">
        <f t="shared" si="4"/>
        <v>0</v>
      </c>
      <c r="D19" s="31">
        <f t="shared" si="4"/>
        <v>0</v>
      </c>
      <c r="E19" s="22">
        <f>--145600</f>
        <v>145600</v>
      </c>
      <c r="F19" s="29">
        <f>--122770.9</f>
        <v>122770.9</v>
      </c>
    </row>
    <row r="20" spans="1:6" x14ac:dyDescent="0.25">
      <c r="A20" s="3">
        <v>3934</v>
      </c>
      <c r="B20" t="s">
        <v>146</v>
      </c>
      <c r="C20" s="30">
        <f t="shared" si="4"/>
        <v>0</v>
      </c>
      <c r="D20" s="31">
        <f t="shared" si="4"/>
        <v>0</v>
      </c>
      <c r="E20" s="22">
        <f>--55455.96</f>
        <v>55455.96</v>
      </c>
      <c r="F20" s="29">
        <f>--15263.88</f>
        <v>15263.88</v>
      </c>
    </row>
    <row r="21" spans="1:6" x14ac:dyDescent="0.25">
      <c r="A21" s="3">
        <v>3960</v>
      </c>
      <c r="B21" t="s">
        <v>72</v>
      </c>
      <c r="C21" s="30">
        <f t="shared" si="4"/>
        <v>0</v>
      </c>
      <c r="D21" s="31">
        <f t="shared" si="4"/>
        <v>0</v>
      </c>
      <c r="E21" s="22">
        <f>0</f>
        <v>0</v>
      </c>
      <c r="F21" s="29">
        <f>--1200</f>
        <v>1200</v>
      </c>
    </row>
    <row r="22" spans="1:6" x14ac:dyDescent="0.25">
      <c r="A22" s="3">
        <v>3962</v>
      </c>
      <c r="B22" t="s">
        <v>226</v>
      </c>
      <c r="C22" s="30">
        <f>-67673.34</f>
        <v>-67673.34</v>
      </c>
      <c r="D22" s="31">
        <f>0</f>
        <v>0</v>
      </c>
      <c r="E22" s="22">
        <f>--80076.66</f>
        <v>80076.66</v>
      </c>
      <c r="F22" s="29">
        <f>--92415</f>
        <v>92415</v>
      </c>
    </row>
    <row r="23" spans="1:6" x14ac:dyDescent="0.25">
      <c r="A23" s="3">
        <v>3963</v>
      </c>
      <c r="B23" t="s">
        <v>25</v>
      </c>
      <c r="C23" s="30">
        <f>0</f>
        <v>0</v>
      </c>
      <c r="D23" s="31">
        <f>--6571.95</f>
        <v>6571.95</v>
      </c>
      <c r="E23" s="22">
        <f>--1394.7</f>
        <v>1394.7</v>
      </c>
      <c r="F23" s="29">
        <f>--7145.87</f>
        <v>7145.87</v>
      </c>
    </row>
    <row r="24" spans="1:6" ht="15.75" thickBot="1" x14ac:dyDescent="0.3">
      <c r="A24" s="3">
        <v>3991</v>
      </c>
      <c r="B24" t="s">
        <v>26</v>
      </c>
      <c r="C24" s="30">
        <f>--60000</f>
        <v>60000</v>
      </c>
      <c r="D24" s="31">
        <f>--30000</f>
        <v>30000</v>
      </c>
      <c r="E24" s="22">
        <f>--60000</f>
        <v>60000</v>
      </c>
      <c r="F24" s="29">
        <f>--30000</f>
        <v>30000</v>
      </c>
    </row>
    <row r="25" spans="1:6" s="1" customFormat="1" ht="15.75" thickBot="1" x14ac:dyDescent="0.3">
      <c r="A25" s="23" t="s">
        <v>117</v>
      </c>
      <c r="B25" s="18"/>
      <c r="C25" s="40">
        <f t="shared" ref="C25:F25" si="5">SUM(C10:C24)</f>
        <v>435545.42790000001</v>
      </c>
      <c r="D25" s="50">
        <f t="shared" si="5"/>
        <v>672672.30709999998</v>
      </c>
      <c r="E25" s="34">
        <f t="shared" si="5"/>
        <v>2192954.6133000003</v>
      </c>
      <c r="F25" s="46">
        <f t="shared" si="5"/>
        <v>1832190.1780999999</v>
      </c>
    </row>
    <row r="26" spans="1:6" x14ac:dyDescent="0.25">
      <c r="A26" s="3"/>
      <c r="C26" s="10"/>
      <c r="D26" s="9"/>
      <c r="E26" s="5"/>
      <c r="F26" s="11"/>
    </row>
    <row r="27" spans="1:6" s="1" customFormat="1" x14ac:dyDescent="0.25">
      <c r="A27" s="7" t="s">
        <v>215</v>
      </c>
      <c r="C27" s="19"/>
      <c r="D27" s="28"/>
      <c r="E27" s="15"/>
      <c r="F27" s="26"/>
    </row>
    <row r="28" spans="1:6" x14ac:dyDescent="0.25">
      <c r="A28" s="3">
        <v>4160</v>
      </c>
      <c r="B28" t="s">
        <v>73</v>
      </c>
      <c r="C28" s="30"/>
      <c r="D28" s="31"/>
      <c r="E28" s="22"/>
      <c r="F28" s="29">
        <v>450</v>
      </c>
    </row>
    <row r="29" spans="1:6" x14ac:dyDescent="0.25">
      <c r="A29" s="3">
        <v>4200</v>
      </c>
      <c r="B29" t="s">
        <v>119</v>
      </c>
      <c r="C29" s="30"/>
      <c r="D29" s="31">
        <v>81600</v>
      </c>
      <c r="E29" s="22">
        <v>-28770.94</v>
      </c>
      <c r="F29" s="29">
        <v>111683.75</v>
      </c>
    </row>
    <row r="30" spans="1:6" x14ac:dyDescent="0.25">
      <c r="A30" s="3">
        <v>4201</v>
      </c>
      <c r="B30" t="s">
        <v>120</v>
      </c>
      <c r="C30" s="30">
        <v>189941.6</v>
      </c>
      <c r="D30" s="31"/>
      <c r="E30" s="22">
        <v>248341.6</v>
      </c>
      <c r="F30" s="29"/>
    </row>
    <row r="31" spans="1:6" x14ac:dyDescent="0.25">
      <c r="A31" s="3">
        <v>4206</v>
      </c>
      <c r="B31" t="s">
        <v>188</v>
      </c>
      <c r="C31" s="30"/>
      <c r="D31" s="31"/>
      <c r="E31" s="22">
        <v>41499.089999999997</v>
      </c>
      <c r="F31" s="29">
        <v>50330.95</v>
      </c>
    </row>
    <row r="32" spans="1:6" x14ac:dyDescent="0.25">
      <c r="A32" s="3">
        <v>4208</v>
      </c>
      <c r="B32" t="s">
        <v>7</v>
      </c>
      <c r="C32" s="30"/>
      <c r="D32" s="31"/>
      <c r="E32" s="22">
        <v>2194</v>
      </c>
      <c r="F32" s="29">
        <v>10000</v>
      </c>
    </row>
    <row r="33" spans="1:6" x14ac:dyDescent="0.25">
      <c r="A33" s="3">
        <v>4210</v>
      </c>
      <c r="B33" t="s">
        <v>105</v>
      </c>
      <c r="C33" s="30"/>
      <c r="D33" s="31"/>
      <c r="E33" s="22">
        <v>9960</v>
      </c>
      <c r="F33" s="29">
        <v>52940</v>
      </c>
    </row>
    <row r="34" spans="1:6" x14ac:dyDescent="0.25">
      <c r="A34" s="3">
        <v>4212</v>
      </c>
      <c r="B34" t="s">
        <v>146</v>
      </c>
      <c r="C34" s="30">
        <v>-54006</v>
      </c>
      <c r="D34" s="31"/>
      <c r="E34" s="22">
        <v>47925.56</v>
      </c>
      <c r="F34" s="29">
        <v>38450.5</v>
      </c>
    </row>
    <row r="35" spans="1:6" x14ac:dyDescent="0.25">
      <c r="A35" s="3">
        <v>4213</v>
      </c>
      <c r="B35" t="s">
        <v>219</v>
      </c>
      <c r="C35" s="30">
        <v>39079.86</v>
      </c>
      <c r="D35" s="31">
        <v>52303.32</v>
      </c>
      <c r="E35" s="22">
        <v>235298.86</v>
      </c>
      <c r="F35" s="29">
        <v>52303.32</v>
      </c>
    </row>
    <row r="36" spans="1:6" x14ac:dyDescent="0.25">
      <c r="A36" s="3">
        <v>4214</v>
      </c>
      <c r="B36" t="s">
        <v>162</v>
      </c>
      <c r="C36" s="30"/>
      <c r="D36" s="31"/>
      <c r="E36" s="22">
        <v>1250</v>
      </c>
      <c r="F36" s="29"/>
    </row>
    <row r="37" spans="1:6" x14ac:dyDescent="0.25">
      <c r="A37" s="3">
        <v>4215</v>
      </c>
      <c r="B37" t="s">
        <v>189</v>
      </c>
      <c r="C37" s="30">
        <v>-46476</v>
      </c>
      <c r="D37" s="31">
        <v>7005</v>
      </c>
      <c r="E37" s="22">
        <v>-24871</v>
      </c>
      <c r="F37" s="29">
        <v>46605</v>
      </c>
    </row>
    <row r="38" spans="1:6" x14ac:dyDescent="0.25">
      <c r="A38" s="3">
        <v>4216</v>
      </c>
      <c r="B38" t="s">
        <v>205</v>
      </c>
      <c r="C38" s="30"/>
      <c r="D38" s="31">
        <v>1769</v>
      </c>
      <c r="E38" s="22">
        <v>6284.14</v>
      </c>
      <c r="F38" s="29">
        <v>3755.08</v>
      </c>
    </row>
    <row r="39" spans="1:6" x14ac:dyDescent="0.25">
      <c r="A39" s="3">
        <v>4218</v>
      </c>
      <c r="B39" t="s">
        <v>169</v>
      </c>
      <c r="C39" s="30">
        <v>1033.07</v>
      </c>
      <c r="D39" s="31"/>
      <c r="E39" s="22">
        <v>18850.88</v>
      </c>
      <c r="F39" s="29">
        <v>-3552.2</v>
      </c>
    </row>
    <row r="40" spans="1:6" x14ac:dyDescent="0.25">
      <c r="A40" s="3">
        <v>4300</v>
      </c>
      <c r="B40" t="s">
        <v>190</v>
      </c>
      <c r="C40" s="30">
        <v>1780.06</v>
      </c>
      <c r="D40" s="31">
        <v>400</v>
      </c>
      <c r="E40" s="22">
        <v>1780.06</v>
      </c>
      <c r="F40" s="29">
        <v>442.9</v>
      </c>
    </row>
    <row r="41" spans="1:6" x14ac:dyDescent="0.25">
      <c r="A41" s="3">
        <v>4301</v>
      </c>
      <c r="B41" t="s">
        <v>90</v>
      </c>
      <c r="C41" s="30"/>
      <c r="D41" s="31"/>
      <c r="E41" s="22"/>
      <c r="F41" s="29">
        <v>33.008000000000003</v>
      </c>
    </row>
    <row r="42" spans="1:6" x14ac:dyDescent="0.25">
      <c r="A42" s="3">
        <v>4310</v>
      </c>
      <c r="B42" t="s">
        <v>58</v>
      </c>
      <c r="C42" s="30">
        <v>12524.19</v>
      </c>
      <c r="D42" s="31">
        <v>10472.42</v>
      </c>
      <c r="E42" s="22">
        <v>76232.03</v>
      </c>
      <c r="F42" s="29">
        <v>52218.25</v>
      </c>
    </row>
    <row r="43" spans="1:6" x14ac:dyDescent="0.25">
      <c r="A43" s="3">
        <v>4380</v>
      </c>
      <c r="B43" t="s">
        <v>121</v>
      </c>
      <c r="C43" s="30"/>
      <c r="D43" s="31">
        <v>155552</v>
      </c>
      <c r="E43" s="22"/>
      <c r="F43" s="29">
        <v>155552</v>
      </c>
    </row>
    <row r="44" spans="1:6" x14ac:dyDescent="0.25">
      <c r="A44" s="3">
        <v>4381</v>
      </c>
      <c r="B44" t="s">
        <v>106</v>
      </c>
      <c r="C44" s="30"/>
      <c r="D44" s="31">
        <v>-155552</v>
      </c>
      <c r="E44" s="22"/>
      <c r="F44" s="29">
        <v>-155552</v>
      </c>
    </row>
    <row r="45" spans="1:6" x14ac:dyDescent="0.25">
      <c r="A45" s="3">
        <v>4400</v>
      </c>
      <c r="B45" t="s">
        <v>74</v>
      </c>
      <c r="C45" s="30"/>
      <c r="D45" s="31"/>
      <c r="E45" s="22">
        <v>239.6</v>
      </c>
      <c r="F45" s="29"/>
    </row>
    <row r="46" spans="1:6" x14ac:dyDescent="0.25">
      <c r="A46" s="3">
        <v>4415</v>
      </c>
      <c r="B46" t="s">
        <v>107</v>
      </c>
      <c r="C46" s="30">
        <v>1595</v>
      </c>
      <c r="D46" s="31"/>
      <c r="E46" s="22">
        <v>1595</v>
      </c>
      <c r="F46" s="29">
        <v>3921</v>
      </c>
    </row>
    <row r="47" spans="1:6" x14ac:dyDescent="0.25">
      <c r="A47" s="3">
        <v>5000</v>
      </c>
      <c r="B47" t="s">
        <v>191</v>
      </c>
      <c r="C47" s="30"/>
      <c r="D47" s="31"/>
      <c r="E47" s="22">
        <v>156439.51999999999</v>
      </c>
      <c r="F47" s="29">
        <v>208818.75</v>
      </c>
    </row>
    <row r="48" spans="1:6" x14ac:dyDescent="0.25">
      <c r="A48" s="3">
        <v>5092</v>
      </c>
      <c r="B48" t="s">
        <v>192</v>
      </c>
      <c r="C48" s="30"/>
      <c r="D48" s="31"/>
      <c r="E48" s="22">
        <v>16569.21</v>
      </c>
      <c r="F48" s="29">
        <v>22484.59</v>
      </c>
    </row>
    <row r="49" spans="1:6" x14ac:dyDescent="0.25">
      <c r="A49" s="3">
        <v>6340</v>
      </c>
      <c r="B49" t="s">
        <v>40</v>
      </c>
      <c r="C49" s="30"/>
      <c r="D49" s="31"/>
      <c r="E49" s="22">
        <v>4557.8</v>
      </c>
      <c r="F49" s="29">
        <v>0</v>
      </c>
    </row>
    <row r="50" spans="1:6" x14ac:dyDescent="0.25">
      <c r="A50" s="3">
        <v>6341</v>
      </c>
      <c r="B50" t="s">
        <v>8</v>
      </c>
      <c r="C50" s="30">
        <v>11522.791999999999</v>
      </c>
      <c r="D50" s="31">
        <v>13603.984</v>
      </c>
      <c r="E50" s="22">
        <v>102573.88800000001</v>
      </c>
      <c r="F50" s="29">
        <v>96078.448000000004</v>
      </c>
    </row>
    <row r="51" spans="1:6" x14ac:dyDescent="0.25">
      <c r="A51" s="3">
        <v>6420</v>
      </c>
      <c r="B51" t="s">
        <v>170</v>
      </c>
      <c r="C51" s="30">
        <v>1098</v>
      </c>
      <c r="D51" s="31"/>
      <c r="E51" s="22">
        <v>1098</v>
      </c>
      <c r="F51" s="29"/>
    </row>
    <row r="52" spans="1:6" x14ac:dyDescent="0.25">
      <c r="A52" s="3">
        <v>6540</v>
      </c>
      <c r="B52" t="s">
        <v>76</v>
      </c>
      <c r="C52" s="30"/>
      <c r="D52" s="31"/>
      <c r="E52" s="22"/>
      <c r="F52" s="29">
        <v>0</v>
      </c>
    </row>
    <row r="53" spans="1:6" x14ac:dyDescent="0.25">
      <c r="A53" s="3">
        <v>6545</v>
      </c>
      <c r="B53" t="s">
        <v>77</v>
      </c>
      <c r="C53" s="30"/>
      <c r="D53" s="31"/>
      <c r="E53" s="22">
        <v>999</v>
      </c>
      <c r="F53" s="29"/>
    </row>
    <row r="54" spans="1:6" x14ac:dyDescent="0.25">
      <c r="A54" s="3">
        <v>6550</v>
      </c>
      <c r="B54" t="s">
        <v>108</v>
      </c>
      <c r="C54" s="30"/>
      <c r="D54" s="31"/>
      <c r="E54" s="22">
        <v>151.19999999999999</v>
      </c>
      <c r="F54" s="29"/>
    </row>
    <row r="55" spans="1:6" x14ac:dyDescent="0.25">
      <c r="A55" s="3">
        <v>6551</v>
      </c>
      <c r="B55" t="s">
        <v>149</v>
      </c>
      <c r="C55" s="30">
        <v>5791.2</v>
      </c>
      <c r="D55" s="31"/>
      <c r="E55" s="22">
        <v>5791.2</v>
      </c>
      <c r="F55" s="29"/>
    </row>
    <row r="56" spans="1:6" x14ac:dyDescent="0.25">
      <c r="A56" s="3">
        <v>6553</v>
      </c>
      <c r="B56" t="s">
        <v>91</v>
      </c>
      <c r="C56" s="30"/>
      <c r="D56" s="31"/>
      <c r="E56" s="22"/>
      <c r="F56" s="29">
        <v>12600</v>
      </c>
    </row>
    <row r="57" spans="1:6" x14ac:dyDescent="0.25">
      <c r="A57" s="3">
        <v>6600</v>
      </c>
      <c r="B57" t="s">
        <v>122</v>
      </c>
      <c r="C57" s="30">
        <v>6287.0640000000003</v>
      </c>
      <c r="D57" s="31">
        <v>206361.432</v>
      </c>
      <c r="E57" s="22">
        <v>9822.0239999999994</v>
      </c>
      <c r="F57" s="29">
        <v>207919.64799999999</v>
      </c>
    </row>
    <row r="58" spans="1:6" x14ac:dyDescent="0.25">
      <c r="A58" s="3">
        <v>6610</v>
      </c>
      <c r="B58" t="s">
        <v>229</v>
      </c>
      <c r="C58" s="30">
        <v>19352.099999999999</v>
      </c>
      <c r="D58" s="31">
        <v>2480.8000000000002</v>
      </c>
      <c r="E58" s="22">
        <v>98686.274000000005</v>
      </c>
      <c r="F58" s="29">
        <v>18361.407999999999</v>
      </c>
    </row>
    <row r="59" spans="1:6" x14ac:dyDescent="0.25">
      <c r="A59" s="3">
        <v>6640</v>
      </c>
      <c r="B59" t="s">
        <v>230</v>
      </c>
      <c r="C59" s="30">
        <v>19456.024000000001</v>
      </c>
      <c r="D59" s="31">
        <v>365455.48800000001</v>
      </c>
      <c r="E59" s="22">
        <v>186081.80799999999</v>
      </c>
      <c r="F59" s="29">
        <v>436113.93199999997</v>
      </c>
    </row>
    <row r="60" spans="1:6" x14ac:dyDescent="0.25">
      <c r="A60" s="3">
        <v>6641</v>
      </c>
      <c r="B60" t="s">
        <v>78</v>
      </c>
      <c r="C60" s="30"/>
      <c r="D60" s="31"/>
      <c r="E60" s="22"/>
      <c r="F60" s="29">
        <v>4123.2</v>
      </c>
    </row>
    <row r="61" spans="1:6" x14ac:dyDescent="0.25">
      <c r="A61" s="3">
        <v>6642</v>
      </c>
      <c r="B61" t="s">
        <v>231</v>
      </c>
      <c r="C61" s="30">
        <v>1342.64</v>
      </c>
      <c r="D61" s="31"/>
      <c r="E61" s="22">
        <v>7196.24</v>
      </c>
      <c r="F61" s="29">
        <v>1228</v>
      </c>
    </row>
    <row r="62" spans="1:6" x14ac:dyDescent="0.25">
      <c r="A62" s="3">
        <v>6645</v>
      </c>
      <c r="B62" t="s">
        <v>193</v>
      </c>
      <c r="C62" s="30">
        <v>26399.464</v>
      </c>
      <c r="D62" s="31">
        <v>26606.655999999999</v>
      </c>
      <c r="E62" s="22">
        <v>56095.023999999998</v>
      </c>
      <c r="F62" s="29">
        <v>72110.656000000003</v>
      </c>
    </row>
    <row r="63" spans="1:6" x14ac:dyDescent="0.25">
      <c r="A63" s="3">
        <v>6660</v>
      </c>
      <c r="B63" t="s">
        <v>27</v>
      </c>
      <c r="C63" s="30">
        <v>68189.718599999993</v>
      </c>
      <c r="D63" s="31"/>
      <c r="E63" s="22">
        <v>294283.07620000001</v>
      </c>
      <c r="F63" s="29">
        <v>176084.568</v>
      </c>
    </row>
    <row r="64" spans="1:6" x14ac:dyDescent="0.25">
      <c r="A64" s="3">
        <v>6680</v>
      </c>
      <c r="B64" t="s">
        <v>194</v>
      </c>
      <c r="C64" s="30">
        <v>14816.384</v>
      </c>
      <c r="D64" s="31">
        <v>5531.6080000000002</v>
      </c>
      <c r="E64" s="22">
        <v>62816.383999999998</v>
      </c>
      <c r="F64" s="29">
        <v>5531.6080000000002</v>
      </c>
    </row>
    <row r="65" spans="1:6" x14ac:dyDescent="0.25">
      <c r="A65" s="3">
        <v>6690</v>
      </c>
      <c r="B65" t="s">
        <v>59</v>
      </c>
      <c r="C65" s="30">
        <v>129691.24800000001</v>
      </c>
      <c r="D65" s="31"/>
      <c r="E65" s="22">
        <v>145276.24799999999</v>
      </c>
      <c r="F65" s="29"/>
    </row>
    <row r="66" spans="1:6" x14ac:dyDescent="0.25">
      <c r="A66" s="3">
        <v>7101</v>
      </c>
      <c r="B66" t="s">
        <v>92</v>
      </c>
      <c r="C66" s="30">
        <v>2709</v>
      </c>
      <c r="D66" s="31"/>
      <c r="E66" s="22">
        <v>2709</v>
      </c>
      <c r="F66" s="29"/>
    </row>
    <row r="67" spans="1:6" x14ac:dyDescent="0.25">
      <c r="A67" s="3">
        <v>7140</v>
      </c>
      <c r="B67" t="s">
        <v>10</v>
      </c>
      <c r="C67" s="30">
        <v>368</v>
      </c>
      <c r="D67" s="31"/>
      <c r="E67" s="22">
        <v>368</v>
      </c>
      <c r="F67" s="29"/>
    </row>
    <row r="68" spans="1:6" x14ac:dyDescent="0.25">
      <c r="A68" s="3">
        <v>7740</v>
      </c>
      <c r="B68" t="s">
        <v>133</v>
      </c>
      <c r="C68" s="30">
        <v>-2</v>
      </c>
      <c r="D68" s="31"/>
      <c r="E68" s="22">
        <v>-2</v>
      </c>
      <c r="F68" s="29">
        <v>-0.57999999999999996</v>
      </c>
    </row>
    <row r="69" spans="1:6" x14ac:dyDescent="0.25">
      <c r="A69" s="3">
        <v>7770</v>
      </c>
      <c r="B69" t="s">
        <v>79</v>
      </c>
      <c r="C69" s="30">
        <v>1638</v>
      </c>
      <c r="D69" s="31">
        <v>194.75</v>
      </c>
      <c r="E69" s="22">
        <v>4619.25</v>
      </c>
      <c r="F69" s="29">
        <v>1842.75</v>
      </c>
    </row>
    <row r="70" spans="1:6" x14ac:dyDescent="0.25">
      <c r="A70" s="3">
        <v>7771</v>
      </c>
      <c r="B70" t="s">
        <v>134</v>
      </c>
      <c r="C70" s="30">
        <v>113.77</v>
      </c>
      <c r="D70" s="31"/>
      <c r="E70" s="22">
        <v>113.77</v>
      </c>
      <c r="F70" s="29"/>
    </row>
    <row r="71" spans="1:6" x14ac:dyDescent="0.25">
      <c r="A71" s="3">
        <v>7781</v>
      </c>
      <c r="B71" t="s">
        <v>110</v>
      </c>
      <c r="C71" s="30"/>
      <c r="D71" s="31">
        <v>604.41</v>
      </c>
      <c r="E71" s="22">
        <v>826.99</v>
      </c>
      <c r="F71" s="29">
        <v>1425.27</v>
      </c>
    </row>
    <row r="72" spans="1:6" x14ac:dyDescent="0.25">
      <c r="A72" s="3">
        <v>7782</v>
      </c>
      <c r="B72" t="s">
        <v>196</v>
      </c>
      <c r="C72" s="30">
        <v>4651.17</v>
      </c>
      <c r="D72" s="31">
        <v>7985.97</v>
      </c>
      <c r="E72" s="22">
        <v>19130.310000000001</v>
      </c>
      <c r="F72" s="29">
        <v>18672.8</v>
      </c>
    </row>
    <row r="73" spans="1:6" x14ac:dyDescent="0.25">
      <c r="A73" s="3">
        <v>7783</v>
      </c>
      <c r="B73" t="s">
        <v>60</v>
      </c>
      <c r="C73" s="30">
        <v>1709.72</v>
      </c>
      <c r="D73" s="31"/>
      <c r="E73" s="22">
        <v>6798.17</v>
      </c>
      <c r="F73" s="29">
        <v>4509.7700000000004</v>
      </c>
    </row>
    <row r="74" spans="1:6" ht="15.75" thickBot="1" x14ac:dyDescent="0.3">
      <c r="A74" s="3">
        <v>7790</v>
      </c>
      <c r="B74" t="s">
        <v>80</v>
      </c>
      <c r="C74" s="30"/>
      <c r="D74" s="31"/>
      <c r="E74" s="22">
        <v>567</v>
      </c>
      <c r="F74" s="29"/>
    </row>
    <row r="75" spans="1:6" s="1" customFormat="1" ht="15.75" thickBot="1" x14ac:dyDescent="0.3">
      <c r="A75" s="23" t="s">
        <v>118</v>
      </c>
      <c r="B75" s="18"/>
      <c r="C75" s="40">
        <f t="shared" ref="C75:F75" si="6">SUM(C28:C74)</f>
        <v>460606.07460000005</v>
      </c>
      <c r="D75" s="50">
        <f t="shared" si="6"/>
        <v>782374.83799999987</v>
      </c>
      <c r="E75" s="34">
        <f t="shared" si="6"/>
        <v>1821376.2662</v>
      </c>
      <c r="F75" s="46">
        <f t="shared" si="6"/>
        <v>1707486.3759999999</v>
      </c>
    </row>
    <row r="76" spans="1:6" x14ac:dyDescent="0.25">
      <c r="A76" s="3"/>
      <c r="C76" s="10"/>
      <c r="D76" s="9"/>
      <c r="E76" s="5"/>
      <c r="F76" s="11"/>
    </row>
    <row r="77" spans="1:6" s="1" customFormat="1" x14ac:dyDescent="0.25">
      <c r="A77" s="7" t="s">
        <v>20</v>
      </c>
      <c r="C77" s="19"/>
      <c r="D77" s="28"/>
      <c r="E77" s="15"/>
      <c r="F77" s="26"/>
    </row>
    <row r="78" spans="1:6" s="1" customFormat="1" x14ac:dyDescent="0.25">
      <c r="A78" s="3">
        <v>8051</v>
      </c>
      <c r="B78" t="s">
        <v>126</v>
      </c>
      <c r="C78" s="30">
        <v>-82934.12</v>
      </c>
      <c r="D78" s="31"/>
      <c r="E78" s="22">
        <v>-82934.12</v>
      </c>
      <c r="F78" s="29">
        <v>-24197.98</v>
      </c>
    </row>
    <row r="79" spans="1:6" x14ac:dyDescent="0.25">
      <c r="A79" s="3">
        <v>8151</v>
      </c>
      <c r="B79" t="s">
        <v>29</v>
      </c>
      <c r="C79" s="30"/>
      <c r="D79" s="31"/>
      <c r="E79" s="22"/>
      <c r="F79" s="29">
        <v>0</v>
      </c>
    </row>
    <row r="80" spans="1:6" x14ac:dyDescent="0.25">
      <c r="A80" s="3">
        <v>8154</v>
      </c>
      <c r="B80" t="s">
        <v>207</v>
      </c>
      <c r="C80" s="30"/>
      <c r="D80" s="31">
        <v>-54393.52</v>
      </c>
      <c r="E80" s="22"/>
      <c r="F80" s="29">
        <v>-54393.52</v>
      </c>
    </row>
    <row r="81" spans="1:6" x14ac:dyDescent="0.25">
      <c r="A81" s="3">
        <v>8155</v>
      </c>
      <c r="B81" t="s">
        <v>12</v>
      </c>
      <c r="C81" s="30"/>
      <c r="D81" s="31"/>
      <c r="E81" s="22"/>
      <c r="F81" s="29">
        <v>306.86</v>
      </c>
    </row>
    <row r="82" spans="1:6" ht="15.75" thickBot="1" x14ac:dyDescent="0.3">
      <c r="A82" s="3">
        <v>8160</v>
      </c>
      <c r="B82" t="s">
        <v>174</v>
      </c>
      <c r="C82" s="30"/>
      <c r="D82" s="31"/>
      <c r="E82" s="22">
        <v>4886.43</v>
      </c>
      <c r="F82" s="29">
        <v>67.86</v>
      </c>
    </row>
    <row r="83" spans="1:6" s="1" customFormat="1" x14ac:dyDescent="0.25">
      <c r="A83" s="58" t="s">
        <v>35</v>
      </c>
      <c r="B83" s="52"/>
      <c r="C83" s="44">
        <f t="shared" ref="C83:F83" si="7">SUM(C78)+SUM(C79:C82)</f>
        <v>-82934.12</v>
      </c>
      <c r="D83" s="49">
        <f t="shared" si="7"/>
        <v>-54393.52</v>
      </c>
      <c r="E83" s="36">
        <f t="shared" si="7"/>
        <v>-78047.69</v>
      </c>
      <c r="F83" s="41">
        <f t="shared" si="7"/>
        <v>-78216.78</v>
      </c>
    </row>
    <row r="84" spans="1:6" x14ac:dyDescent="0.25">
      <c r="A84" s="3"/>
      <c r="C84" s="10"/>
      <c r="D84" s="9"/>
      <c r="E84" s="5"/>
      <c r="F84" s="11"/>
    </row>
    <row r="85" spans="1:6" s="1" customFormat="1" ht="15.75" thickBot="1" x14ac:dyDescent="0.3">
      <c r="A85" s="24" t="s">
        <v>84</v>
      </c>
      <c r="B85" s="16"/>
      <c r="C85" s="87">
        <f t="shared" ref="C85:F85" si="8">C25-C75-C83</f>
        <v>57873.473299999954</v>
      </c>
      <c r="D85" s="85">
        <f t="shared" si="8"/>
        <v>-55309.010899999899</v>
      </c>
      <c r="E85" s="62">
        <f t="shared" si="8"/>
        <v>449626.03710000037</v>
      </c>
      <c r="F85" s="84">
        <f t="shared" si="8"/>
        <v>202920.58209999997</v>
      </c>
    </row>
    <row r="86" spans="1:6" x14ac:dyDescent="0.25">
      <c r="A86" s="3"/>
      <c r="C86" s="10"/>
      <c r="D86" s="9"/>
      <c r="E86" s="5"/>
      <c r="F86" s="11"/>
    </row>
    <row r="87" spans="1:6" s="1" customFormat="1" ht="15.75" thickBot="1" x14ac:dyDescent="0.3">
      <c r="A87" s="7" t="s">
        <v>50</v>
      </c>
      <c r="C87" s="19"/>
      <c r="D87" s="28"/>
      <c r="E87" s="15"/>
      <c r="F87" s="26"/>
    </row>
    <row r="88" spans="1:6" x14ac:dyDescent="0.25">
      <c r="A88" s="55" t="s">
        <v>85</v>
      </c>
      <c r="B88" s="59"/>
      <c r="C88" s="44">
        <f t="shared" ref="C88:F88" si="9">SUM(0)</f>
        <v>0</v>
      </c>
      <c r="D88" s="49">
        <f t="shared" si="9"/>
        <v>0</v>
      </c>
      <c r="E88" s="36">
        <f t="shared" si="9"/>
        <v>0</v>
      </c>
      <c r="F88" s="41">
        <f t="shared" si="9"/>
        <v>0</v>
      </c>
    </row>
    <row r="89" spans="1:6" x14ac:dyDescent="0.25">
      <c r="A89" s="3"/>
      <c r="C89" s="10"/>
      <c r="D89" s="9"/>
      <c r="E89" s="5"/>
      <c r="F89" s="11"/>
    </row>
    <row r="90" spans="1:6" s="1" customFormat="1" ht="15.75" thickBot="1" x14ac:dyDescent="0.3">
      <c r="A90" s="54" t="s">
        <v>144</v>
      </c>
      <c r="B90" s="57"/>
      <c r="C90" s="83">
        <f t="shared" ref="C90:F90" si="10">C85-C88</f>
        <v>57873.473299999954</v>
      </c>
      <c r="D90" s="88">
        <f t="shared" si="10"/>
        <v>-55309.010899999899</v>
      </c>
      <c r="E90" s="82">
        <f t="shared" si="10"/>
        <v>449626.03710000037</v>
      </c>
      <c r="F90" s="86">
        <f t="shared" si="10"/>
        <v>202920.58209999997</v>
      </c>
    </row>
    <row r="91" spans="1:6" ht="15.75" thickTop="1" x14ac:dyDescent="0.25"/>
    <row r="216" spans="1:2" hidden="1" x14ac:dyDescent="0.25"/>
    <row r="217" spans="1:2" hidden="1" x14ac:dyDescent="0.25">
      <c r="B217" t="str">
        <f>VLOOKUP(RIGHT(202511,2),MANED3,2,FALSE)&amp;" - "</f>
        <v xml:space="preserve">November - </v>
      </c>
    </row>
    <row r="218" spans="1:2" hidden="1" x14ac:dyDescent="0.25">
      <c r="B218" t="str">
        <f>VLOOKUP(RIGHT(202512,2),MANED3,2,FALSE)&amp;"  "&amp;LEFT(202512,4)</f>
        <v>Desember  2025</v>
      </c>
    </row>
    <row r="219" spans="1:2" hidden="1" x14ac:dyDescent="0.25"/>
    <row r="220" spans="1:2" hidden="1" x14ac:dyDescent="0.25"/>
    <row r="221" spans="1:2" hidden="1" x14ac:dyDescent="0.25"/>
    <row r="222" spans="1:2" hidden="1" x14ac:dyDescent="0.25">
      <c r="A222" s="47" t="s">
        <v>65</v>
      </c>
      <c r="B222" s="43" t="s">
        <v>184</v>
      </c>
    </row>
    <row r="223" spans="1:2" hidden="1" x14ac:dyDescent="0.25">
      <c r="A223" s="47" t="s">
        <v>130</v>
      </c>
      <c r="B223" s="43" t="s">
        <v>1</v>
      </c>
    </row>
    <row r="224" spans="1:2" hidden="1" x14ac:dyDescent="0.25">
      <c r="A224" s="47" t="s">
        <v>185</v>
      </c>
      <c r="B224" s="43" t="s">
        <v>66</v>
      </c>
    </row>
    <row r="225" spans="1:2" hidden="1" x14ac:dyDescent="0.25">
      <c r="A225" s="47" t="s">
        <v>2</v>
      </c>
      <c r="B225" s="43" t="s">
        <v>21</v>
      </c>
    </row>
    <row r="226" spans="1:2" hidden="1" x14ac:dyDescent="0.25">
      <c r="A226" s="47" t="s">
        <v>67</v>
      </c>
      <c r="B226" s="43" t="s">
        <v>166</v>
      </c>
    </row>
    <row r="227" spans="1:2" hidden="1" x14ac:dyDescent="0.25">
      <c r="A227" s="47" t="s">
        <v>131</v>
      </c>
      <c r="B227" s="43" t="s">
        <v>217</v>
      </c>
    </row>
    <row r="228" spans="1:2" hidden="1" x14ac:dyDescent="0.25">
      <c r="A228" s="47" t="s">
        <v>186</v>
      </c>
      <c r="B228" s="43" t="s">
        <v>101</v>
      </c>
    </row>
    <row r="229" spans="1:2" hidden="1" x14ac:dyDescent="0.25">
      <c r="A229" s="47" t="s">
        <v>3</v>
      </c>
      <c r="B229" s="43" t="s">
        <v>102</v>
      </c>
    </row>
    <row r="230" spans="1:2" hidden="1" x14ac:dyDescent="0.25">
      <c r="A230" s="47" t="s">
        <v>68</v>
      </c>
      <c r="B230" s="43" t="s">
        <v>86</v>
      </c>
    </row>
    <row r="231" spans="1:2" hidden="1" x14ac:dyDescent="0.25">
      <c r="A231" s="47" t="s">
        <v>187</v>
      </c>
      <c r="B231" s="43" t="s">
        <v>167</v>
      </c>
    </row>
    <row r="232" spans="1:2" hidden="1" x14ac:dyDescent="0.25">
      <c r="A232" s="47" t="s">
        <v>4</v>
      </c>
      <c r="B232" s="43" t="s">
        <v>5</v>
      </c>
    </row>
    <row r="233" spans="1:2" hidden="1" x14ac:dyDescent="0.25">
      <c r="A233" s="47" t="s">
        <v>69</v>
      </c>
      <c r="B233" s="43" t="s">
        <v>103</v>
      </c>
    </row>
    <row r="234" spans="1:2" hidden="1" x14ac:dyDescent="0.2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02"/>
  <sheetViews>
    <sheetView workbookViewId="0">
      <selection activeCell="I21" sqref="I21"/>
    </sheetView>
  </sheetViews>
  <sheetFormatPr baseColWidth="10" defaultColWidth="11.42578125" defaultRowHeight="15" x14ac:dyDescent="0.25"/>
  <cols>
    <col min="1" max="1" width="10.85546875" customWidth="1"/>
    <col min="2" max="2" width="33.7109375" customWidth="1"/>
    <col min="3" max="4" width="15.140625" customWidth="1"/>
    <col min="5" max="5" width="15" style="13" customWidth="1"/>
    <col min="6" max="6" width="15.140625" style="13" customWidth="1"/>
  </cols>
  <sheetData>
    <row r="1" spans="1:9" x14ac:dyDescent="0.25">
      <c r="A1" t="s">
        <v>238</v>
      </c>
    </row>
    <row r="3" spans="1:9" ht="26.25" x14ac:dyDescent="0.4">
      <c r="A3" s="48" t="s">
        <v>158</v>
      </c>
      <c r="C3" s="45" t="s">
        <v>214</v>
      </c>
    </row>
    <row r="4" spans="1:9" ht="15.75" x14ac:dyDescent="0.25">
      <c r="A4" t="s">
        <v>53</v>
      </c>
      <c r="C4" s="74" t="str">
        <f>CONCATENATE(B185," ",B186)</f>
        <v>November -  Desember  2025</v>
      </c>
    </row>
    <row r="5" spans="1:9" ht="15.75" x14ac:dyDescent="0.25">
      <c r="A5" s="1">
        <v>1</v>
      </c>
      <c r="B5" s="1" t="s">
        <v>225</v>
      </c>
      <c r="C5" s="1"/>
      <c r="D5" s="1"/>
      <c r="E5" s="179" t="s">
        <v>236</v>
      </c>
      <c r="F5" s="180" t="s">
        <v>237</v>
      </c>
      <c r="G5" s="180" t="s">
        <v>237</v>
      </c>
      <c r="H5" s="180" t="s">
        <v>237</v>
      </c>
      <c r="I5" s="180" t="s">
        <v>237</v>
      </c>
    </row>
    <row r="6" spans="1:9" ht="15.75" thickBot="1" x14ac:dyDescent="0.3"/>
    <row r="7" spans="1:9" s="1" customFormat="1" ht="15.75" thickTop="1" x14ac:dyDescent="0.25">
      <c r="A7" s="37"/>
      <c r="B7" s="35"/>
      <c r="C7" s="78" t="s">
        <v>157</v>
      </c>
      <c r="D7" s="76" t="s">
        <v>157</v>
      </c>
      <c r="E7" s="60" t="s">
        <v>18</v>
      </c>
      <c r="F7" s="68" t="s">
        <v>18</v>
      </c>
    </row>
    <row r="8" spans="1:9" s="1" customFormat="1" ht="15.75" thickBot="1" x14ac:dyDescent="0.3">
      <c r="A8" s="24"/>
      <c r="B8" s="16"/>
      <c r="C8" s="63" t="s">
        <v>19</v>
      </c>
      <c r="D8" s="75" t="s">
        <v>181</v>
      </c>
      <c r="E8" s="56" t="s">
        <v>19</v>
      </c>
      <c r="F8" s="67" t="s">
        <v>181</v>
      </c>
    </row>
    <row r="9" spans="1:9" s="1" customFormat="1" x14ac:dyDescent="0.25">
      <c r="A9" s="7" t="s">
        <v>0</v>
      </c>
      <c r="C9" s="71"/>
      <c r="D9" s="81"/>
      <c r="E9" s="53"/>
      <c r="F9" s="72"/>
    </row>
    <row r="10" spans="1:9" x14ac:dyDescent="0.25">
      <c r="A10" s="3">
        <v>3000</v>
      </c>
      <c r="B10" t="s">
        <v>159</v>
      </c>
      <c r="C10" s="30">
        <f t="shared" ref="C10:C15" si="0">0</f>
        <v>0</v>
      </c>
      <c r="D10" s="31">
        <f t="shared" ref="D10:E11" si="1">0</f>
        <v>0</v>
      </c>
      <c r="E10" s="22">
        <f t="shared" si="1"/>
        <v>0</v>
      </c>
      <c r="F10" s="29">
        <f>--52000</f>
        <v>52000</v>
      </c>
    </row>
    <row r="11" spans="1:9" x14ac:dyDescent="0.25">
      <c r="A11" s="3">
        <v>3210</v>
      </c>
      <c r="B11" t="s">
        <v>145</v>
      </c>
      <c r="C11" s="30">
        <f t="shared" si="0"/>
        <v>0</v>
      </c>
      <c r="D11" s="31">
        <f t="shared" si="1"/>
        <v>0</v>
      </c>
      <c r="E11" s="22">
        <f t="shared" si="1"/>
        <v>0</v>
      </c>
      <c r="F11" s="29">
        <f>--22932</f>
        <v>22932</v>
      </c>
    </row>
    <row r="12" spans="1:9" x14ac:dyDescent="0.25">
      <c r="A12" s="3">
        <v>3390</v>
      </c>
      <c r="B12" t="s">
        <v>71</v>
      </c>
      <c r="C12" s="30">
        <f t="shared" si="0"/>
        <v>0</v>
      </c>
      <c r="D12" s="31">
        <f>--15300</f>
        <v>15300</v>
      </c>
      <c r="E12" s="22">
        <f>-15300</f>
        <v>-15300</v>
      </c>
      <c r="F12" s="29">
        <f>--15300</f>
        <v>15300</v>
      </c>
    </row>
    <row r="13" spans="1:9" x14ac:dyDescent="0.25">
      <c r="A13" s="3">
        <v>3400</v>
      </c>
      <c r="B13" t="s">
        <v>6</v>
      </c>
      <c r="C13" s="30">
        <f t="shared" si="0"/>
        <v>0</v>
      </c>
      <c r="D13" s="31">
        <f t="shared" ref="D13:D20" si="2">0</f>
        <v>0</v>
      </c>
      <c r="E13" s="22">
        <f>--29959</f>
        <v>29959</v>
      </c>
      <c r="F13" s="29">
        <f>--72111</f>
        <v>72111</v>
      </c>
    </row>
    <row r="14" spans="1:9" x14ac:dyDescent="0.25">
      <c r="A14" s="3">
        <v>3401</v>
      </c>
      <c r="B14" t="s">
        <v>37</v>
      </c>
      <c r="C14" s="30">
        <f t="shared" si="0"/>
        <v>0</v>
      </c>
      <c r="D14" s="31">
        <f t="shared" si="2"/>
        <v>0</v>
      </c>
      <c r="E14" s="22">
        <f>--135146</f>
        <v>135146</v>
      </c>
      <c r="F14" s="29">
        <f>--129948</f>
        <v>129948</v>
      </c>
    </row>
    <row r="15" spans="1:9" x14ac:dyDescent="0.25">
      <c r="A15" s="3">
        <v>3807</v>
      </c>
      <c r="B15" t="s">
        <v>218</v>
      </c>
      <c r="C15" s="30">
        <f t="shared" si="0"/>
        <v>0</v>
      </c>
      <c r="D15" s="31">
        <f t="shared" si="2"/>
        <v>0</v>
      </c>
      <c r="E15" s="22">
        <f>--16000</f>
        <v>16000</v>
      </c>
      <c r="F15" s="29">
        <f>0</f>
        <v>0</v>
      </c>
    </row>
    <row r="16" spans="1:9" x14ac:dyDescent="0.25">
      <c r="A16" s="3">
        <v>3920</v>
      </c>
      <c r="B16" t="s">
        <v>38</v>
      </c>
      <c r="C16" s="30">
        <f>--1061.11</f>
        <v>1061.1099999999999</v>
      </c>
      <c r="D16" s="31">
        <f t="shared" si="2"/>
        <v>0</v>
      </c>
      <c r="E16" s="22">
        <f>--79818.61</f>
        <v>79818.61</v>
      </c>
      <c r="F16" s="29">
        <f>--77589.34</f>
        <v>77589.34</v>
      </c>
    </row>
    <row r="17" spans="1:6" x14ac:dyDescent="0.25">
      <c r="A17" s="3">
        <v>3921</v>
      </c>
      <c r="B17" t="s">
        <v>24</v>
      </c>
      <c r="C17" s="30">
        <f>0</f>
        <v>0</v>
      </c>
      <c r="D17" s="31">
        <f t="shared" si="2"/>
        <v>0</v>
      </c>
      <c r="E17" s="22">
        <f>--49935.01</f>
        <v>49935.01</v>
      </c>
      <c r="F17" s="29">
        <f>--51914.53</f>
        <v>51914.53</v>
      </c>
    </row>
    <row r="18" spans="1:6" x14ac:dyDescent="0.25">
      <c r="A18" s="3">
        <v>3922</v>
      </c>
      <c r="B18" t="s">
        <v>55</v>
      </c>
      <c r="C18" s="30">
        <f>--13889</f>
        <v>13889</v>
      </c>
      <c r="D18" s="31">
        <f t="shared" si="2"/>
        <v>0</v>
      </c>
      <c r="E18" s="22">
        <f>--48120</f>
        <v>48120</v>
      </c>
      <c r="F18" s="29">
        <f>--27240</f>
        <v>27240</v>
      </c>
    </row>
    <row r="19" spans="1:6" x14ac:dyDescent="0.25">
      <c r="A19" s="3">
        <v>3963</v>
      </c>
      <c r="B19" t="s">
        <v>25</v>
      </c>
      <c r="C19" s="30">
        <f>0</f>
        <v>0</v>
      </c>
      <c r="D19" s="31">
        <f t="shared" si="2"/>
        <v>0</v>
      </c>
      <c r="E19" s="22">
        <f>0</f>
        <v>0</v>
      </c>
      <c r="F19" s="29">
        <f>--999.3</f>
        <v>999.3</v>
      </c>
    </row>
    <row r="20" spans="1:6" x14ac:dyDescent="0.25">
      <c r="A20" s="3">
        <v>3991</v>
      </c>
      <c r="B20" t="s">
        <v>26</v>
      </c>
      <c r="C20" s="30">
        <f>--125000</f>
        <v>125000</v>
      </c>
      <c r="D20" s="31">
        <f t="shared" si="2"/>
        <v>0</v>
      </c>
      <c r="E20" s="22">
        <f>--125000</f>
        <v>125000</v>
      </c>
      <c r="F20" s="29">
        <f>0</f>
        <v>0</v>
      </c>
    </row>
    <row r="21" spans="1:6" x14ac:dyDescent="0.25">
      <c r="A21" s="3">
        <v>3992</v>
      </c>
      <c r="B21" t="s">
        <v>147</v>
      </c>
      <c r="C21" s="30">
        <f>--202126</f>
        <v>202126</v>
      </c>
      <c r="D21" s="31">
        <f>--227942</f>
        <v>227942</v>
      </c>
      <c r="E21" s="22">
        <f>--202126</f>
        <v>202126</v>
      </c>
      <c r="F21" s="29">
        <f>--227942</f>
        <v>227942</v>
      </c>
    </row>
    <row r="22" spans="1:6" ht="15.75" thickBot="1" x14ac:dyDescent="0.3">
      <c r="A22" s="3">
        <v>3995</v>
      </c>
      <c r="B22" t="s">
        <v>227</v>
      </c>
      <c r="C22" s="30">
        <f t="shared" ref="C22:D22" si="3">0</f>
        <v>0</v>
      </c>
      <c r="D22" s="31">
        <f t="shared" si="3"/>
        <v>0</v>
      </c>
      <c r="E22" s="22">
        <f>--77852</f>
        <v>77852</v>
      </c>
      <c r="F22" s="29">
        <f>0</f>
        <v>0</v>
      </c>
    </row>
    <row r="23" spans="1:6" s="1" customFormat="1" ht="15.75" thickBot="1" x14ac:dyDescent="0.3">
      <c r="A23" s="23" t="s">
        <v>117</v>
      </c>
      <c r="B23" s="18"/>
      <c r="C23" s="40">
        <f t="shared" ref="C23:F23" si="4">SUM(C10:C22)</f>
        <v>342076.11</v>
      </c>
      <c r="D23" s="50">
        <f t="shared" si="4"/>
        <v>243242</v>
      </c>
      <c r="E23" s="34">
        <f t="shared" si="4"/>
        <v>748656.62</v>
      </c>
      <c r="F23" s="46">
        <f t="shared" si="4"/>
        <v>677976.16999999993</v>
      </c>
    </row>
    <row r="24" spans="1:6" x14ac:dyDescent="0.25">
      <c r="A24" s="3"/>
      <c r="C24" s="10"/>
      <c r="D24" s="9"/>
      <c r="E24" s="5"/>
      <c r="F24" s="11"/>
    </row>
    <row r="25" spans="1:6" s="1" customFormat="1" x14ac:dyDescent="0.25">
      <c r="A25" s="7" t="s">
        <v>215</v>
      </c>
      <c r="C25" s="19"/>
      <c r="D25" s="28"/>
      <c r="E25" s="15"/>
      <c r="F25" s="26"/>
    </row>
    <row r="26" spans="1:6" x14ac:dyDescent="0.25">
      <c r="A26" s="3">
        <v>4200</v>
      </c>
      <c r="B26" t="s">
        <v>119</v>
      </c>
      <c r="C26" s="30">
        <v>11600</v>
      </c>
      <c r="D26" s="31">
        <v>21500</v>
      </c>
      <c r="E26" s="22">
        <v>11600</v>
      </c>
      <c r="F26" s="29">
        <v>21500</v>
      </c>
    </row>
    <row r="27" spans="1:6" x14ac:dyDescent="0.25">
      <c r="A27" s="3">
        <v>4201</v>
      </c>
      <c r="B27" t="s">
        <v>120</v>
      </c>
      <c r="C27" s="30">
        <v>3500</v>
      </c>
      <c r="D27" s="31">
        <v>5500</v>
      </c>
      <c r="E27" s="22">
        <v>4000</v>
      </c>
      <c r="F27" s="29">
        <v>15000</v>
      </c>
    </row>
    <row r="28" spans="1:6" x14ac:dyDescent="0.25">
      <c r="A28" s="3">
        <v>4216</v>
      </c>
      <c r="B28" t="s">
        <v>205</v>
      </c>
      <c r="C28" s="30"/>
      <c r="D28" s="31"/>
      <c r="E28" s="22"/>
      <c r="F28" s="29">
        <v>9700</v>
      </c>
    </row>
    <row r="29" spans="1:6" x14ac:dyDescent="0.25">
      <c r="A29" s="3">
        <v>4415</v>
      </c>
      <c r="B29" t="s">
        <v>107</v>
      </c>
      <c r="C29" s="30"/>
      <c r="D29" s="31"/>
      <c r="E29" s="22">
        <v>1515</v>
      </c>
      <c r="F29" s="29"/>
    </row>
    <row r="30" spans="1:6" x14ac:dyDescent="0.25">
      <c r="A30" s="3">
        <v>6420</v>
      </c>
      <c r="B30" t="s">
        <v>170</v>
      </c>
      <c r="C30" s="30"/>
      <c r="D30" s="31"/>
      <c r="E30" s="22">
        <v>7585.2</v>
      </c>
      <c r="F30" s="29"/>
    </row>
    <row r="31" spans="1:6" x14ac:dyDescent="0.25">
      <c r="A31" s="3">
        <v>6553</v>
      </c>
      <c r="B31" t="s">
        <v>91</v>
      </c>
      <c r="C31" s="30">
        <v>6543.52</v>
      </c>
      <c r="D31" s="31">
        <v>752.4</v>
      </c>
      <c r="E31" s="22">
        <v>18309.79</v>
      </c>
      <c r="F31" s="29">
        <v>8506.2999999999993</v>
      </c>
    </row>
    <row r="32" spans="1:6" x14ac:dyDescent="0.25">
      <c r="A32" s="3">
        <v>6660</v>
      </c>
      <c r="B32" t="s">
        <v>27</v>
      </c>
      <c r="C32" s="30"/>
      <c r="D32" s="31"/>
      <c r="E32" s="22">
        <v>1975</v>
      </c>
      <c r="F32" s="29"/>
    </row>
    <row r="33" spans="1:6" x14ac:dyDescent="0.25">
      <c r="A33" s="3">
        <v>6705</v>
      </c>
      <c r="B33" t="s">
        <v>150</v>
      </c>
      <c r="C33" s="30">
        <v>29182.38</v>
      </c>
      <c r="D33" s="31">
        <v>2702.48</v>
      </c>
      <c r="E33" s="22">
        <v>192229.12</v>
      </c>
      <c r="F33" s="29">
        <v>153033.712</v>
      </c>
    </row>
    <row r="34" spans="1:6" x14ac:dyDescent="0.25">
      <c r="A34" s="3">
        <v>6860</v>
      </c>
      <c r="B34" t="s">
        <v>124</v>
      </c>
      <c r="C34" s="30"/>
      <c r="D34" s="31"/>
      <c r="E34" s="22"/>
      <c r="F34" s="29">
        <v>1455</v>
      </c>
    </row>
    <row r="35" spans="1:6" x14ac:dyDescent="0.25">
      <c r="A35" s="3">
        <v>6890</v>
      </c>
      <c r="B35" t="s">
        <v>171</v>
      </c>
      <c r="C35" s="30"/>
      <c r="D35" s="31"/>
      <c r="E35" s="22">
        <v>258</v>
      </c>
      <c r="F35" s="29">
        <v>8025.6</v>
      </c>
    </row>
    <row r="36" spans="1:6" x14ac:dyDescent="0.25">
      <c r="A36" s="3">
        <v>6940</v>
      </c>
      <c r="B36" t="s">
        <v>41</v>
      </c>
      <c r="C36" s="30"/>
      <c r="D36" s="31"/>
      <c r="E36" s="22"/>
      <c r="F36" s="29">
        <v>1474.01</v>
      </c>
    </row>
    <row r="37" spans="1:6" x14ac:dyDescent="0.25">
      <c r="A37" s="3">
        <v>7410</v>
      </c>
      <c r="B37" t="s">
        <v>173</v>
      </c>
      <c r="C37" s="30"/>
      <c r="D37" s="31">
        <v>9570</v>
      </c>
      <c r="E37" s="22"/>
      <c r="F37" s="29">
        <v>9570</v>
      </c>
    </row>
    <row r="38" spans="1:6" x14ac:dyDescent="0.25">
      <c r="A38" s="3">
        <v>7420</v>
      </c>
      <c r="B38" t="s">
        <v>54</v>
      </c>
      <c r="C38" s="30"/>
      <c r="D38" s="31"/>
      <c r="E38" s="22"/>
      <c r="F38" s="29">
        <v>4168</v>
      </c>
    </row>
    <row r="39" spans="1:6" x14ac:dyDescent="0.25">
      <c r="A39" s="3">
        <v>7450</v>
      </c>
      <c r="B39" t="s">
        <v>206</v>
      </c>
      <c r="C39" s="30">
        <v>125000</v>
      </c>
      <c r="D39" s="31">
        <v>95000</v>
      </c>
      <c r="E39" s="22">
        <v>125000</v>
      </c>
      <c r="F39" s="29">
        <v>95000</v>
      </c>
    </row>
    <row r="40" spans="1:6" x14ac:dyDescent="0.25">
      <c r="A40" s="3">
        <v>7451</v>
      </c>
      <c r="B40" t="s">
        <v>11</v>
      </c>
      <c r="C40" s="30">
        <v>60000</v>
      </c>
      <c r="D40" s="31">
        <v>30000</v>
      </c>
      <c r="E40" s="22">
        <v>60000</v>
      </c>
      <c r="F40" s="29">
        <v>30000</v>
      </c>
    </row>
    <row r="41" spans="1:6" x14ac:dyDescent="0.25">
      <c r="A41" s="3">
        <v>7500</v>
      </c>
      <c r="B41" t="s">
        <v>195</v>
      </c>
      <c r="C41" s="30">
        <v>9138</v>
      </c>
      <c r="D41" s="31"/>
      <c r="E41" s="22">
        <v>13707</v>
      </c>
      <c r="F41" s="29"/>
    </row>
    <row r="42" spans="1:6" x14ac:dyDescent="0.25">
      <c r="A42" s="3">
        <v>7510</v>
      </c>
      <c r="B42" t="s">
        <v>195</v>
      </c>
      <c r="C42" s="30"/>
      <c r="D42" s="31">
        <v>8520.3333999999995</v>
      </c>
      <c r="E42" s="22">
        <v>35292.126700000001</v>
      </c>
      <c r="F42" s="29">
        <v>45663.457000000002</v>
      </c>
    </row>
    <row r="43" spans="1:6" x14ac:dyDescent="0.25">
      <c r="A43" s="3">
        <v>7740</v>
      </c>
      <c r="B43" t="s">
        <v>133</v>
      </c>
      <c r="C43" s="30">
        <v>-263.47000000000003</v>
      </c>
      <c r="D43" s="31">
        <v>-0.26</v>
      </c>
      <c r="E43" s="22">
        <v>-262.02</v>
      </c>
      <c r="F43" s="29">
        <v>-0.33</v>
      </c>
    </row>
    <row r="44" spans="1:6" x14ac:dyDescent="0.25">
      <c r="A44" s="3">
        <v>7770</v>
      </c>
      <c r="B44" t="s">
        <v>79</v>
      </c>
      <c r="C44" s="30">
        <v>228</v>
      </c>
      <c r="D44" s="31">
        <v>4</v>
      </c>
      <c r="E44" s="22">
        <v>1119.5</v>
      </c>
      <c r="F44" s="29">
        <v>-278</v>
      </c>
    </row>
    <row r="45" spans="1:6" ht="15.75" thickBot="1" x14ac:dyDescent="0.3">
      <c r="A45" s="3">
        <v>7790</v>
      </c>
      <c r="B45" t="s">
        <v>80</v>
      </c>
      <c r="C45" s="30"/>
      <c r="D45" s="31"/>
      <c r="E45" s="22"/>
      <c r="F45" s="29">
        <v>2000</v>
      </c>
    </row>
    <row r="46" spans="1:6" s="1" customFormat="1" ht="15.75" thickBot="1" x14ac:dyDescent="0.3">
      <c r="A46" s="23" t="s">
        <v>118</v>
      </c>
      <c r="B46" s="18"/>
      <c r="C46" s="40">
        <f t="shared" ref="C46:F46" si="5">SUM(C26:C45)</f>
        <v>244928.43</v>
      </c>
      <c r="D46" s="50">
        <f t="shared" si="5"/>
        <v>173548.9534</v>
      </c>
      <c r="E46" s="34">
        <f t="shared" si="5"/>
        <v>472328.71669999999</v>
      </c>
      <c r="F46" s="46">
        <f t="shared" si="5"/>
        <v>404817.74899999995</v>
      </c>
    </row>
    <row r="47" spans="1:6" x14ac:dyDescent="0.25">
      <c r="A47" s="3"/>
      <c r="C47" s="10"/>
      <c r="D47" s="9"/>
      <c r="E47" s="5"/>
      <c r="F47" s="11"/>
    </row>
    <row r="48" spans="1:6" s="1" customFormat="1" x14ac:dyDescent="0.25">
      <c r="A48" s="7" t="s">
        <v>20</v>
      </c>
      <c r="C48" s="19"/>
      <c r="D48" s="28"/>
      <c r="E48" s="15"/>
      <c r="F48" s="26"/>
    </row>
    <row r="49" spans="1:6" s="1" customFormat="1" ht="15.75" thickBot="1" x14ac:dyDescent="0.3">
      <c r="A49" s="3">
        <v>8051</v>
      </c>
      <c r="B49" t="s">
        <v>126</v>
      </c>
      <c r="C49" s="30">
        <v>-497</v>
      </c>
      <c r="D49" s="31">
        <v>-1589</v>
      </c>
      <c r="E49" s="22">
        <v>-497</v>
      </c>
      <c r="F49" s="29">
        <v>-1589</v>
      </c>
    </row>
    <row r="50" spans="1:6" s="1" customFormat="1" x14ac:dyDescent="0.25">
      <c r="A50" s="58" t="s">
        <v>35</v>
      </c>
      <c r="B50" s="52"/>
      <c r="C50" s="44">
        <f t="shared" ref="C50:F50" si="6">SUM(C49)+SUM(0)</f>
        <v>-497</v>
      </c>
      <c r="D50" s="49">
        <f t="shared" si="6"/>
        <v>-1589</v>
      </c>
      <c r="E50" s="36">
        <f t="shared" si="6"/>
        <v>-497</v>
      </c>
      <c r="F50" s="41">
        <f t="shared" si="6"/>
        <v>-1589</v>
      </c>
    </row>
    <row r="51" spans="1:6" x14ac:dyDescent="0.25">
      <c r="A51" s="3"/>
      <c r="C51" s="10"/>
      <c r="D51" s="9"/>
      <c r="E51" s="5"/>
      <c r="F51" s="11"/>
    </row>
    <row r="52" spans="1:6" s="1" customFormat="1" ht="15.75" thickBot="1" x14ac:dyDescent="0.3">
      <c r="A52" s="24" t="s">
        <v>84</v>
      </c>
      <c r="B52" s="16"/>
      <c r="C52" s="87">
        <f t="shared" ref="C52:F52" si="7">C23-C46-C50</f>
        <v>97644.68</v>
      </c>
      <c r="D52" s="85">
        <f t="shared" si="7"/>
        <v>71282.046600000001</v>
      </c>
      <c r="E52" s="62">
        <f t="shared" si="7"/>
        <v>276824.90330000001</v>
      </c>
      <c r="F52" s="84">
        <f t="shared" si="7"/>
        <v>274747.42099999997</v>
      </c>
    </row>
    <row r="53" spans="1:6" x14ac:dyDescent="0.25">
      <c r="A53" s="3"/>
      <c r="C53" s="10"/>
      <c r="D53" s="9"/>
      <c r="E53" s="5"/>
      <c r="F53" s="11"/>
    </row>
    <row r="54" spans="1:6" s="1" customFormat="1" x14ac:dyDescent="0.25">
      <c r="A54" s="7" t="s">
        <v>50</v>
      </c>
      <c r="C54" s="19"/>
      <c r="D54" s="28"/>
      <c r="E54" s="15"/>
      <c r="F54" s="26"/>
    </row>
    <row r="55" spans="1:6" ht="15.75" thickBot="1" x14ac:dyDescent="0.3">
      <c r="A55" s="3">
        <v>8960</v>
      </c>
      <c r="B55" t="s">
        <v>155</v>
      </c>
      <c r="C55" s="30">
        <v>516093</v>
      </c>
      <c r="D55" s="31">
        <v>527419</v>
      </c>
      <c r="E55" s="22">
        <v>516093</v>
      </c>
      <c r="F55" s="29">
        <v>527419</v>
      </c>
    </row>
    <row r="56" spans="1:6" x14ac:dyDescent="0.25">
      <c r="A56" s="55" t="s">
        <v>85</v>
      </c>
      <c r="B56" s="59"/>
      <c r="C56" s="44">
        <f t="shared" ref="C56:F56" si="8">SUM(C55)</f>
        <v>516093</v>
      </c>
      <c r="D56" s="49">
        <f t="shared" si="8"/>
        <v>527419</v>
      </c>
      <c r="E56" s="36">
        <f t="shared" si="8"/>
        <v>516093</v>
      </c>
      <c r="F56" s="41">
        <f t="shared" si="8"/>
        <v>527419</v>
      </c>
    </row>
    <row r="57" spans="1:6" x14ac:dyDescent="0.25">
      <c r="A57" s="3"/>
      <c r="C57" s="10"/>
      <c r="D57" s="9"/>
      <c r="E57" s="5"/>
      <c r="F57" s="11"/>
    </row>
    <row r="58" spans="1:6" s="1" customFormat="1" ht="15.75" thickBot="1" x14ac:dyDescent="0.3">
      <c r="A58" s="54" t="s">
        <v>144</v>
      </c>
      <c r="B58" s="57"/>
      <c r="C58" s="83">
        <f t="shared" ref="C58:F58" si="9">C52-C56</f>
        <v>-418448.32</v>
      </c>
      <c r="D58" s="88">
        <f t="shared" si="9"/>
        <v>-456136.9534</v>
      </c>
      <c r="E58" s="82">
        <f t="shared" si="9"/>
        <v>-239268.09669999999</v>
      </c>
      <c r="F58" s="86">
        <f t="shared" si="9"/>
        <v>-252671.57900000003</v>
      </c>
    </row>
    <row r="59" spans="1:6" ht="15.75" thickTop="1" x14ac:dyDescent="0.25"/>
    <row r="184" spans="1:2" hidden="1" x14ac:dyDescent="0.25"/>
    <row r="185" spans="1:2" hidden="1" x14ac:dyDescent="0.25">
      <c r="B185" t="str">
        <f>VLOOKUP(RIGHT(202511,2),MANED3,2,FALSE)&amp;" - "</f>
        <v xml:space="preserve">November - </v>
      </c>
    </row>
    <row r="186" spans="1:2" hidden="1" x14ac:dyDescent="0.25">
      <c r="B186" t="str">
        <f>VLOOKUP(RIGHT(202512,2),MANED3,2,FALSE)&amp;"  "&amp;LEFT(202512,4)</f>
        <v>Desember  2025</v>
      </c>
    </row>
    <row r="187" spans="1:2" hidden="1" x14ac:dyDescent="0.25"/>
    <row r="188" spans="1:2" hidden="1" x14ac:dyDescent="0.25"/>
    <row r="189" spans="1:2" hidden="1" x14ac:dyDescent="0.25"/>
    <row r="190" spans="1:2" hidden="1" x14ac:dyDescent="0.25">
      <c r="A190" s="47" t="s">
        <v>65</v>
      </c>
      <c r="B190" s="43" t="s">
        <v>184</v>
      </c>
    </row>
    <row r="191" spans="1:2" hidden="1" x14ac:dyDescent="0.25">
      <c r="A191" s="47" t="s">
        <v>130</v>
      </c>
      <c r="B191" s="43" t="s">
        <v>1</v>
      </c>
    </row>
    <row r="192" spans="1:2" hidden="1" x14ac:dyDescent="0.25">
      <c r="A192" s="47" t="s">
        <v>185</v>
      </c>
      <c r="B192" s="43" t="s">
        <v>66</v>
      </c>
    </row>
    <row r="193" spans="1:2" hidden="1" x14ac:dyDescent="0.25">
      <c r="A193" s="47" t="s">
        <v>2</v>
      </c>
      <c r="B193" s="43" t="s">
        <v>21</v>
      </c>
    </row>
    <row r="194" spans="1:2" hidden="1" x14ac:dyDescent="0.25">
      <c r="A194" s="47" t="s">
        <v>67</v>
      </c>
      <c r="B194" s="43" t="s">
        <v>166</v>
      </c>
    </row>
    <row r="195" spans="1:2" hidden="1" x14ac:dyDescent="0.25">
      <c r="A195" s="47" t="s">
        <v>131</v>
      </c>
      <c r="B195" s="43" t="s">
        <v>217</v>
      </c>
    </row>
    <row r="196" spans="1:2" hidden="1" x14ac:dyDescent="0.25">
      <c r="A196" s="47" t="s">
        <v>186</v>
      </c>
      <c r="B196" s="43" t="s">
        <v>101</v>
      </c>
    </row>
    <row r="197" spans="1:2" hidden="1" x14ac:dyDescent="0.25">
      <c r="A197" s="47" t="s">
        <v>3</v>
      </c>
      <c r="B197" s="43" t="s">
        <v>102</v>
      </c>
    </row>
    <row r="198" spans="1:2" hidden="1" x14ac:dyDescent="0.25">
      <c r="A198" s="47" t="s">
        <v>68</v>
      </c>
      <c r="B198" s="43" t="s">
        <v>86</v>
      </c>
    </row>
    <row r="199" spans="1:2" hidden="1" x14ac:dyDescent="0.25">
      <c r="A199" s="47" t="s">
        <v>187</v>
      </c>
      <c r="B199" s="43" t="s">
        <v>167</v>
      </c>
    </row>
    <row r="200" spans="1:2" hidden="1" x14ac:dyDescent="0.25">
      <c r="A200" s="47" t="s">
        <v>4</v>
      </c>
      <c r="B200" s="43" t="s">
        <v>5</v>
      </c>
    </row>
    <row r="201" spans="1:2" hidden="1" x14ac:dyDescent="0.25">
      <c r="A201" s="47" t="s">
        <v>69</v>
      </c>
      <c r="B201" s="43" t="s">
        <v>103</v>
      </c>
    </row>
    <row r="202" spans="1:2" hidden="1" x14ac:dyDescent="0.2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18"/>
  <sheetViews>
    <sheetView topLeftCell="A32" workbookViewId="0">
      <selection activeCell="G1" sqref="G1"/>
    </sheetView>
  </sheetViews>
  <sheetFormatPr baseColWidth="10" defaultColWidth="11.42578125" defaultRowHeight="15" x14ac:dyDescent="0.25"/>
  <cols>
    <col min="1" max="1" width="10.85546875" customWidth="1"/>
    <col min="2" max="2" width="33.7109375" customWidth="1"/>
    <col min="3" max="4" width="15.140625" customWidth="1"/>
    <col min="5" max="5" width="15" style="13" customWidth="1"/>
    <col min="6" max="6" width="15.140625" style="13" customWidth="1"/>
  </cols>
  <sheetData>
    <row r="1" spans="1:9" x14ac:dyDescent="0.25">
      <c r="A1" t="s">
        <v>238</v>
      </c>
    </row>
    <row r="3" spans="1:9" ht="26.25" x14ac:dyDescent="0.4">
      <c r="A3" s="48" t="s">
        <v>158</v>
      </c>
      <c r="C3" s="45" t="s">
        <v>214</v>
      </c>
    </row>
    <row r="4" spans="1:9" ht="15.75" x14ac:dyDescent="0.25">
      <c r="A4" t="s">
        <v>53</v>
      </c>
      <c r="C4" s="74" t="str">
        <f>CONCATENATE(B201," ",B202)</f>
        <v>November -  Desember  2025</v>
      </c>
    </row>
    <row r="5" spans="1:9" ht="15.75" x14ac:dyDescent="0.25">
      <c r="A5" s="1">
        <v>3</v>
      </c>
      <c r="B5" s="1" t="s">
        <v>34</v>
      </c>
      <c r="C5" s="1"/>
      <c r="D5" s="1"/>
      <c r="E5" s="179" t="s">
        <v>236</v>
      </c>
      <c r="F5" s="180" t="s">
        <v>237</v>
      </c>
      <c r="G5" s="180" t="s">
        <v>237</v>
      </c>
      <c r="H5" s="180" t="s">
        <v>237</v>
      </c>
      <c r="I5" s="180" t="s">
        <v>237</v>
      </c>
    </row>
    <row r="6" spans="1:9" ht="15.75" thickBot="1" x14ac:dyDescent="0.3"/>
    <row r="7" spans="1:9" s="1" customFormat="1" ht="15.75" thickTop="1" x14ac:dyDescent="0.25">
      <c r="A7" s="37"/>
      <c r="B7" s="35"/>
      <c r="C7" s="78" t="s">
        <v>157</v>
      </c>
      <c r="D7" s="76" t="s">
        <v>157</v>
      </c>
      <c r="E7" s="60" t="s">
        <v>18</v>
      </c>
      <c r="F7" s="68" t="s">
        <v>18</v>
      </c>
    </row>
    <row r="8" spans="1:9" s="1" customFormat="1" ht="15.75" thickBot="1" x14ac:dyDescent="0.3">
      <c r="A8" s="24"/>
      <c r="B8" s="16"/>
      <c r="C8" s="63" t="s">
        <v>19</v>
      </c>
      <c r="D8" s="75" t="s">
        <v>181</v>
      </c>
      <c r="E8" s="56" t="s">
        <v>19</v>
      </c>
      <c r="F8" s="67" t="s">
        <v>181</v>
      </c>
    </row>
    <row r="9" spans="1:9" s="1" customFormat="1" x14ac:dyDescent="0.25">
      <c r="A9" s="7" t="s">
        <v>0</v>
      </c>
      <c r="C9" s="71"/>
      <c r="D9" s="81"/>
      <c r="E9" s="53"/>
      <c r="F9" s="72"/>
    </row>
    <row r="10" spans="1:9" x14ac:dyDescent="0.25">
      <c r="A10" s="3">
        <v>3010</v>
      </c>
      <c r="B10" t="s">
        <v>104</v>
      </c>
      <c r="C10" s="30">
        <f t="shared" ref="C10:C16" si="0">0</f>
        <v>0</v>
      </c>
      <c r="D10" s="31">
        <f>--11200</f>
        <v>11200</v>
      </c>
      <c r="E10" s="22">
        <f t="shared" ref="E10:E13" si="1">0</f>
        <v>0</v>
      </c>
      <c r="F10" s="29">
        <f>--11200</f>
        <v>11200</v>
      </c>
    </row>
    <row r="11" spans="1:9" x14ac:dyDescent="0.25">
      <c r="A11" s="3">
        <v>3020</v>
      </c>
      <c r="B11" t="s">
        <v>202</v>
      </c>
      <c r="C11" s="30">
        <f t="shared" si="0"/>
        <v>0</v>
      </c>
      <c r="D11" s="31">
        <f>--106000</f>
        <v>106000</v>
      </c>
      <c r="E11" s="22">
        <f t="shared" si="1"/>
        <v>0</v>
      </c>
      <c r="F11" s="29">
        <f>--131000</f>
        <v>131000</v>
      </c>
    </row>
    <row r="12" spans="1:9" x14ac:dyDescent="0.25">
      <c r="A12" s="3">
        <v>3121</v>
      </c>
      <c r="B12" t="s">
        <v>160</v>
      </c>
      <c r="C12" s="30">
        <f t="shared" si="0"/>
        <v>0</v>
      </c>
      <c r="D12" s="31">
        <f t="shared" ref="D12:D15" si="2">0</f>
        <v>0</v>
      </c>
      <c r="E12" s="22">
        <f t="shared" si="1"/>
        <v>0</v>
      </c>
      <c r="F12" s="29">
        <f>--45000</f>
        <v>45000</v>
      </c>
    </row>
    <row r="13" spans="1:9" x14ac:dyDescent="0.25">
      <c r="A13" s="3">
        <v>3200</v>
      </c>
      <c r="B13" t="s">
        <v>203</v>
      </c>
      <c r="C13" s="30">
        <f t="shared" si="0"/>
        <v>0</v>
      </c>
      <c r="D13" s="31">
        <f t="shared" si="2"/>
        <v>0</v>
      </c>
      <c r="E13" s="22">
        <f t="shared" si="1"/>
        <v>0</v>
      </c>
      <c r="F13" s="29">
        <f>--10393</f>
        <v>10393</v>
      </c>
    </row>
    <row r="14" spans="1:9" x14ac:dyDescent="0.25">
      <c r="A14" s="3">
        <v>3400</v>
      </c>
      <c r="B14" t="s">
        <v>6</v>
      </c>
      <c r="C14" s="30">
        <f t="shared" si="0"/>
        <v>0</v>
      </c>
      <c r="D14" s="31">
        <f t="shared" si="2"/>
        <v>0</v>
      </c>
      <c r="E14" s="22">
        <f>--49245</f>
        <v>49245</v>
      </c>
      <c r="F14" s="29">
        <f>0</f>
        <v>0</v>
      </c>
    </row>
    <row r="15" spans="1:9" x14ac:dyDescent="0.25">
      <c r="A15" s="3">
        <v>3405</v>
      </c>
      <c r="B15" t="s">
        <v>161</v>
      </c>
      <c r="C15" s="30">
        <f t="shared" si="0"/>
        <v>0</v>
      </c>
      <c r="D15" s="31">
        <f t="shared" si="2"/>
        <v>0</v>
      </c>
      <c r="E15" s="22">
        <f>--205604</f>
        <v>205604</v>
      </c>
      <c r="F15" s="29">
        <f>--105000</f>
        <v>105000</v>
      </c>
    </row>
    <row r="16" spans="1:9" x14ac:dyDescent="0.25">
      <c r="A16" s="3">
        <v>3406</v>
      </c>
      <c r="B16" t="s">
        <v>54</v>
      </c>
      <c r="C16" s="30">
        <f t="shared" si="0"/>
        <v>0</v>
      </c>
      <c r="D16" s="31">
        <f>--6000</f>
        <v>6000</v>
      </c>
      <c r="E16" s="22">
        <f>--26000</f>
        <v>26000</v>
      </c>
      <c r="F16" s="29">
        <f>--6000</f>
        <v>6000</v>
      </c>
    </row>
    <row r="17" spans="1:6" x14ac:dyDescent="0.25">
      <c r="A17" s="3">
        <v>3930</v>
      </c>
      <c r="B17" t="s">
        <v>56</v>
      </c>
      <c r="C17" s="30">
        <f>--932.32</f>
        <v>932.32</v>
      </c>
      <c r="D17" s="31">
        <f t="shared" ref="D17:D21" si="3">0</f>
        <v>0</v>
      </c>
      <c r="E17" s="22">
        <f>--84672.32</f>
        <v>84672.320000000007</v>
      </c>
      <c r="F17" s="29">
        <f>--40400</f>
        <v>40400</v>
      </c>
    </row>
    <row r="18" spans="1:6" x14ac:dyDescent="0.25">
      <c r="A18" s="3">
        <v>3932</v>
      </c>
      <c r="B18" t="s">
        <v>204</v>
      </c>
      <c r="C18" s="30">
        <f t="shared" ref="C18:C22" si="4">0</f>
        <v>0</v>
      </c>
      <c r="D18" s="31">
        <f t="shared" si="3"/>
        <v>0</v>
      </c>
      <c r="E18" s="22">
        <f>--46925</f>
        <v>46925</v>
      </c>
      <c r="F18" s="29">
        <f>0</f>
        <v>0</v>
      </c>
    </row>
    <row r="19" spans="1:6" x14ac:dyDescent="0.25">
      <c r="A19" s="3">
        <v>3934</v>
      </c>
      <c r="B19" t="s">
        <v>146</v>
      </c>
      <c r="C19" s="30">
        <f t="shared" si="4"/>
        <v>0</v>
      </c>
      <c r="D19" s="31">
        <f t="shared" si="3"/>
        <v>0</v>
      </c>
      <c r="E19" s="22">
        <f>--180182.3</f>
        <v>180182.3</v>
      </c>
      <c r="F19" s="29">
        <f>--182426.39</f>
        <v>182426.39</v>
      </c>
    </row>
    <row r="20" spans="1:6" x14ac:dyDescent="0.25">
      <c r="A20" s="3">
        <v>3962</v>
      </c>
      <c r="B20" t="s">
        <v>226</v>
      </c>
      <c r="C20" s="30">
        <f t="shared" si="4"/>
        <v>0</v>
      </c>
      <c r="D20" s="31">
        <f t="shared" si="3"/>
        <v>0</v>
      </c>
      <c r="E20" s="22">
        <f>0</f>
        <v>0</v>
      </c>
      <c r="F20" s="29">
        <f>--55000</f>
        <v>55000</v>
      </c>
    </row>
    <row r="21" spans="1:6" x14ac:dyDescent="0.25">
      <c r="A21" s="3">
        <v>3963</v>
      </c>
      <c r="B21" t="s">
        <v>25</v>
      </c>
      <c r="C21" s="30">
        <f t="shared" si="4"/>
        <v>0</v>
      </c>
      <c r="D21" s="31">
        <f t="shared" si="3"/>
        <v>0</v>
      </c>
      <c r="E21" s="22">
        <f>-5956</f>
        <v>-5956</v>
      </c>
      <c r="F21" s="29">
        <f>--506.38</f>
        <v>506.38</v>
      </c>
    </row>
    <row r="22" spans="1:6" ht="15.75" thickBot="1" x14ac:dyDescent="0.3">
      <c r="A22" s="3">
        <v>3991</v>
      </c>
      <c r="B22" t="s">
        <v>26</v>
      </c>
      <c r="C22" s="30">
        <f t="shared" si="4"/>
        <v>0</v>
      </c>
      <c r="D22" s="31">
        <f>--95000</f>
        <v>95000</v>
      </c>
      <c r="E22" s="22">
        <f>0</f>
        <v>0</v>
      </c>
      <c r="F22" s="29">
        <f>--95000</f>
        <v>95000</v>
      </c>
    </row>
    <row r="23" spans="1:6" s="1" customFormat="1" ht="15.75" thickBot="1" x14ac:dyDescent="0.3">
      <c r="A23" s="23" t="s">
        <v>117</v>
      </c>
      <c r="B23" s="18"/>
      <c r="C23" s="40">
        <f t="shared" ref="C23:F23" si="5">SUM(C10:C22)</f>
        <v>932.32</v>
      </c>
      <c r="D23" s="50">
        <f t="shared" si="5"/>
        <v>218200</v>
      </c>
      <c r="E23" s="34">
        <f t="shared" si="5"/>
        <v>586672.62</v>
      </c>
      <c r="F23" s="46">
        <f t="shared" si="5"/>
        <v>681925.77</v>
      </c>
    </row>
    <row r="24" spans="1:6" x14ac:dyDescent="0.25">
      <c r="A24" s="3"/>
      <c r="C24" s="10"/>
      <c r="D24" s="9"/>
      <c r="E24" s="5"/>
      <c r="F24" s="11"/>
    </row>
    <row r="25" spans="1:6" s="1" customFormat="1" x14ac:dyDescent="0.25">
      <c r="A25" s="7" t="s">
        <v>215</v>
      </c>
      <c r="C25" s="19"/>
      <c r="D25" s="28"/>
      <c r="E25" s="15"/>
      <c r="F25" s="26"/>
    </row>
    <row r="26" spans="1:6" x14ac:dyDescent="0.25">
      <c r="A26" s="3">
        <v>4201</v>
      </c>
      <c r="B26" t="s">
        <v>120</v>
      </c>
      <c r="C26" s="30"/>
      <c r="D26" s="31"/>
      <c r="E26" s="22">
        <v>158465</v>
      </c>
      <c r="F26" s="29">
        <v>2400</v>
      </c>
    </row>
    <row r="27" spans="1:6" x14ac:dyDescent="0.25">
      <c r="A27" s="3">
        <v>4206</v>
      </c>
      <c r="B27" t="s">
        <v>188</v>
      </c>
      <c r="C27" s="30"/>
      <c r="D27" s="31"/>
      <c r="E27" s="22"/>
      <c r="F27" s="29">
        <v>1228.73</v>
      </c>
    </row>
    <row r="28" spans="1:6" x14ac:dyDescent="0.25">
      <c r="A28" s="3">
        <v>4207</v>
      </c>
      <c r="B28" t="s">
        <v>132</v>
      </c>
      <c r="C28" s="30">
        <v>1500</v>
      </c>
      <c r="D28" s="31"/>
      <c r="E28" s="22">
        <v>1500</v>
      </c>
      <c r="F28" s="29"/>
    </row>
    <row r="29" spans="1:6" x14ac:dyDescent="0.25">
      <c r="A29" s="3">
        <v>4210</v>
      </c>
      <c r="B29" t="s">
        <v>105</v>
      </c>
      <c r="C29" s="30">
        <v>-8490</v>
      </c>
      <c r="D29" s="31">
        <v>62955.25</v>
      </c>
      <c r="E29" s="22">
        <v>176307.06</v>
      </c>
      <c r="F29" s="29">
        <v>103345.25</v>
      </c>
    </row>
    <row r="30" spans="1:6" x14ac:dyDescent="0.25">
      <c r="A30" s="3">
        <v>4211</v>
      </c>
      <c r="B30" t="s">
        <v>39</v>
      </c>
      <c r="C30" s="30"/>
      <c r="D30" s="31">
        <v>26390</v>
      </c>
      <c r="E30" s="22">
        <v>38786</v>
      </c>
      <c r="F30" s="29">
        <v>46704.25</v>
      </c>
    </row>
    <row r="31" spans="1:6" x14ac:dyDescent="0.25">
      <c r="A31" s="3">
        <v>4212</v>
      </c>
      <c r="B31" t="s">
        <v>146</v>
      </c>
      <c r="C31" s="30">
        <v>23152.12</v>
      </c>
      <c r="D31" s="31">
        <v>3338.49</v>
      </c>
      <c r="E31" s="22">
        <v>69323.149999999994</v>
      </c>
      <c r="F31" s="29">
        <v>138354.82</v>
      </c>
    </row>
    <row r="32" spans="1:6" x14ac:dyDescent="0.25">
      <c r="A32" s="3">
        <v>4213</v>
      </c>
      <c r="B32" t="s">
        <v>219</v>
      </c>
      <c r="C32" s="30"/>
      <c r="D32" s="31"/>
      <c r="E32" s="22"/>
      <c r="F32" s="29">
        <v>58243</v>
      </c>
    </row>
    <row r="33" spans="1:6" x14ac:dyDescent="0.25">
      <c r="A33" s="3">
        <v>4214</v>
      </c>
      <c r="B33" t="s">
        <v>162</v>
      </c>
      <c r="C33" s="30"/>
      <c r="D33" s="31">
        <v>877.81</v>
      </c>
      <c r="E33" s="22"/>
      <c r="F33" s="29">
        <v>7175.81</v>
      </c>
    </row>
    <row r="34" spans="1:6" x14ac:dyDescent="0.25">
      <c r="A34" s="3">
        <v>4215</v>
      </c>
      <c r="B34" t="s">
        <v>189</v>
      </c>
      <c r="C34" s="30">
        <v>2763</v>
      </c>
      <c r="D34" s="31">
        <v>53835</v>
      </c>
      <c r="E34" s="22">
        <v>47898.01</v>
      </c>
      <c r="F34" s="29">
        <v>56485</v>
      </c>
    </row>
    <row r="35" spans="1:6" x14ac:dyDescent="0.25">
      <c r="A35" s="3">
        <v>4220</v>
      </c>
      <c r="B35" t="s">
        <v>57</v>
      </c>
      <c r="C35" s="30"/>
      <c r="D35" s="31"/>
      <c r="E35" s="22">
        <v>54600</v>
      </c>
      <c r="F35" s="29">
        <v>25000</v>
      </c>
    </row>
    <row r="36" spans="1:6" x14ac:dyDescent="0.25">
      <c r="A36" s="3">
        <v>4221</v>
      </c>
      <c r="B36" t="s">
        <v>228</v>
      </c>
      <c r="C36" s="30"/>
      <c r="D36" s="31"/>
      <c r="E36" s="22">
        <v>547.79</v>
      </c>
      <c r="F36" s="29">
        <v>4948.3599999999997</v>
      </c>
    </row>
    <row r="37" spans="1:6" x14ac:dyDescent="0.25">
      <c r="A37" s="3">
        <v>4400</v>
      </c>
      <c r="B37" t="s">
        <v>74</v>
      </c>
      <c r="C37" s="30"/>
      <c r="D37" s="31"/>
      <c r="E37" s="22"/>
      <c r="F37" s="29">
        <v>1500.56</v>
      </c>
    </row>
    <row r="38" spans="1:6" x14ac:dyDescent="0.25">
      <c r="A38" s="3">
        <v>4415</v>
      </c>
      <c r="B38" t="s">
        <v>107</v>
      </c>
      <c r="C38" s="30"/>
      <c r="D38" s="31"/>
      <c r="E38" s="22">
        <v>1387.08</v>
      </c>
      <c r="F38" s="29"/>
    </row>
    <row r="39" spans="1:6" x14ac:dyDescent="0.25">
      <c r="A39" s="3">
        <v>6010</v>
      </c>
      <c r="B39" t="s">
        <v>148</v>
      </c>
      <c r="C39" s="30">
        <v>7268.58</v>
      </c>
      <c r="D39" s="31">
        <v>21805.74</v>
      </c>
      <c r="E39" s="22">
        <v>43611.48</v>
      </c>
      <c r="F39" s="29">
        <v>43611.48</v>
      </c>
    </row>
    <row r="40" spans="1:6" x14ac:dyDescent="0.25">
      <c r="A40" s="3">
        <v>6320</v>
      </c>
      <c r="B40" t="s">
        <v>75</v>
      </c>
      <c r="C40" s="30"/>
      <c r="D40" s="31"/>
      <c r="E40" s="22"/>
      <c r="F40" s="29">
        <v>3652</v>
      </c>
    </row>
    <row r="41" spans="1:6" x14ac:dyDescent="0.25">
      <c r="A41" s="3">
        <v>6340</v>
      </c>
      <c r="B41" t="s">
        <v>40</v>
      </c>
      <c r="C41" s="30">
        <v>7800.72</v>
      </c>
      <c r="D41" s="31">
        <v>6669.39</v>
      </c>
      <c r="E41" s="22">
        <v>39228.61</v>
      </c>
      <c r="F41" s="29">
        <v>36896.35</v>
      </c>
    </row>
    <row r="42" spans="1:6" x14ac:dyDescent="0.25">
      <c r="A42" s="3">
        <v>6341</v>
      </c>
      <c r="B42" t="s">
        <v>8</v>
      </c>
      <c r="C42" s="30"/>
      <c r="D42" s="31"/>
      <c r="E42" s="22"/>
      <c r="F42" s="29">
        <v>306.36</v>
      </c>
    </row>
    <row r="43" spans="1:6" x14ac:dyDescent="0.25">
      <c r="A43" s="3">
        <v>6640</v>
      </c>
      <c r="B43" t="s">
        <v>230</v>
      </c>
      <c r="C43" s="30">
        <v>0</v>
      </c>
      <c r="D43" s="31"/>
      <c r="E43" s="22">
        <v>0</v>
      </c>
      <c r="F43" s="29"/>
    </row>
    <row r="44" spans="1:6" x14ac:dyDescent="0.25">
      <c r="A44" s="3">
        <v>6660</v>
      </c>
      <c r="B44" t="s">
        <v>27</v>
      </c>
      <c r="C44" s="30"/>
      <c r="D44" s="31">
        <v>13475.6</v>
      </c>
      <c r="E44" s="22">
        <v>8785</v>
      </c>
      <c r="F44" s="29">
        <v>28064.6</v>
      </c>
    </row>
    <row r="45" spans="1:6" x14ac:dyDescent="0.25">
      <c r="A45" s="3">
        <v>6680</v>
      </c>
      <c r="B45" t="s">
        <v>194</v>
      </c>
      <c r="C45" s="30"/>
      <c r="D45" s="31">
        <v>4584</v>
      </c>
      <c r="E45" s="22">
        <v>5744.442</v>
      </c>
      <c r="F45" s="29">
        <v>27836.25</v>
      </c>
    </row>
    <row r="46" spans="1:6" x14ac:dyDescent="0.25">
      <c r="A46" s="3">
        <v>6690</v>
      </c>
      <c r="B46" t="s">
        <v>59</v>
      </c>
      <c r="C46" s="30">
        <v>15545.5</v>
      </c>
      <c r="D46" s="31"/>
      <c r="E46" s="22">
        <v>114838.25</v>
      </c>
      <c r="F46" s="29">
        <v>13486.2</v>
      </c>
    </row>
    <row r="47" spans="1:6" x14ac:dyDescent="0.25">
      <c r="A47" s="3">
        <v>6695</v>
      </c>
      <c r="B47" t="s">
        <v>220</v>
      </c>
      <c r="C47" s="30">
        <v>20027.5</v>
      </c>
      <c r="D47" s="31"/>
      <c r="E47" s="22">
        <v>20027.5</v>
      </c>
      <c r="F47" s="29">
        <v>0</v>
      </c>
    </row>
    <row r="48" spans="1:6" x14ac:dyDescent="0.25">
      <c r="A48" s="3">
        <v>6696</v>
      </c>
      <c r="B48" t="s">
        <v>9</v>
      </c>
      <c r="C48" s="30"/>
      <c r="D48" s="31"/>
      <c r="E48" s="22"/>
      <c r="F48" s="29">
        <v>13213.44</v>
      </c>
    </row>
    <row r="49" spans="1:6" x14ac:dyDescent="0.25">
      <c r="A49" s="3">
        <v>6800</v>
      </c>
      <c r="B49" t="s">
        <v>123</v>
      </c>
      <c r="C49" s="30"/>
      <c r="D49" s="31"/>
      <c r="E49" s="22">
        <v>410.22</v>
      </c>
      <c r="F49" s="29">
        <v>249.66</v>
      </c>
    </row>
    <row r="50" spans="1:6" x14ac:dyDescent="0.25">
      <c r="A50" s="3">
        <v>6845</v>
      </c>
      <c r="B50" t="s">
        <v>109</v>
      </c>
      <c r="C50" s="30">
        <v>2489.7199999999998</v>
      </c>
      <c r="D50" s="31">
        <v>2275.7939999999999</v>
      </c>
      <c r="E50" s="22">
        <v>14504.995999999999</v>
      </c>
      <c r="F50" s="29">
        <v>11502.578</v>
      </c>
    </row>
    <row r="51" spans="1:6" x14ac:dyDescent="0.25">
      <c r="A51" s="3">
        <v>6860</v>
      </c>
      <c r="B51" t="s">
        <v>124</v>
      </c>
      <c r="C51" s="30"/>
      <c r="D51" s="31"/>
      <c r="E51" s="22"/>
      <c r="F51" s="29">
        <v>568.70000000000005</v>
      </c>
    </row>
    <row r="52" spans="1:6" x14ac:dyDescent="0.25">
      <c r="A52" s="3">
        <v>6862</v>
      </c>
      <c r="B52" t="s">
        <v>125</v>
      </c>
      <c r="C52" s="30"/>
      <c r="D52" s="31"/>
      <c r="E52" s="22">
        <v>26826.2</v>
      </c>
      <c r="F52" s="29">
        <v>21916</v>
      </c>
    </row>
    <row r="53" spans="1:6" x14ac:dyDescent="0.25">
      <c r="A53" s="3">
        <v>6900</v>
      </c>
      <c r="B53" t="s">
        <v>172</v>
      </c>
      <c r="C53" s="30"/>
      <c r="D53" s="31">
        <v>99.01</v>
      </c>
      <c r="E53" s="22"/>
      <c r="F53" s="29">
        <v>99.01</v>
      </c>
    </row>
    <row r="54" spans="1:6" x14ac:dyDescent="0.25">
      <c r="A54" s="3">
        <v>7420</v>
      </c>
      <c r="B54" t="s">
        <v>54</v>
      </c>
      <c r="C54" s="30"/>
      <c r="D54" s="31"/>
      <c r="E54" s="22"/>
      <c r="F54" s="29">
        <v>2500</v>
      </c>
    </row>
    <row r="55" spans="1:6" x14ac:dyDescent="0.25">
      <c r="A55" s="3">
        <v>7740</v>
      </c>
      <c r="B55" t="s">
        <v>133</v>
      </c>
      <c r="C55" s="30">
        <v>-0.01</v>
      </c>
      <c r="D55" s="31"/>
      <c r="E55" s="22">
        <v>-7.0000000000000007E-2</v>
      </c>
      <c r="F55" s="29">
        <v>-0.03</v>
      </c>
    </row>
    <row r="56" spans="1:6" x14ac:dyDescent="0.25">
      <c r="A56" s="3">
        <v>7770</v>
      </c>
      <c r="B56" t="s">
        <v>79</v>
      </c>
      <c r="C56" s="30">
        <v>4</v>
      </c>
      <c r="D56" s="31">
        <v>4</v>
      </c>
      <c r="E56" s="22">
        <v>24</v>
      </c>
      <c r="F56" s="29">
        <v>24</v>
      </c>
    </row>
    <row r="57" spans="1:6" x14ac:dyDescent="0.25">
      <c r="A57" s="3">
        <v>7780</v>
      </c>
      <c r="B57" t="s">
        <v>28</v>
      </c>
      <c r="C57" s="30"/>
      <c r="D57" s="31"/>
      <c r="E57" s="22">
        <v>-3970.34</v>
      </c>
      <c r="F57" s="29">
        <v>310.77999999999997</v>
      </c>
    </row>
    <row r="58" spans="1:6" x14ac:dyDescent="0.25">
      <c r="A58" s="3">
        <v>7781</v>
      </c>
      <c r="B58" t="s">
        <v>110</v>
      </c>
      <c r="C58" s="30"/>
      <c r="D58" s="31"/>
      <c r="E58" s="22">
        <v>660.18</v>
      </c>
      <c r="F58" s="29">
        <v>-246.87</v>
      </c>
    </row>
    <row r="59" spans="1:6" x14ac:dyDescent="0.25">
      <c r="A59" s="3">
        <v>7783</v>
      </c>
      <c r="B59" t="s">
        <v>60</v>
      </c>
      <c r="C59" s="30"/>
      <c r="D59" s="31"/>
      <c r="E59" s="22">
        <v>2197</v>
      </c>
      <c r="F59" s="29">
        <v>1066</v>
      </c>
    </row>
    <row r="60" spans="1:6" x14ac:dyDescent="0.25">
      <c r="A60" s="3">
        <v>7790</v>
      </c>
      <c r="B60" t="s">
        <v>80</v>
      </c>
      <c r="C60" s="30"/>
      <c r="D60" s="31"/>
      <c r="E60" s="22"/>
      <c r="F60" s="29">
        <v>2310</v>
      </c>
    </row>
    <row r="61" spans="1:6" ht="15.75" thickBot="1" x14ac:dyDescent="0.3">
      <c r="A61" s="3">
        <v>7791</v>
      </c>
      <c r="B61" t="s">
        <v>111</v>
      </c>
      <c r="C61" s="30"/>
      <c r="D61" s="31"/>
      <c r="E61" s="22">
        <v>2937.6</v>
      </c>
      <c r="F61" s="29">
        <v>130</v>
      </c>
    </row>
    <row r="62" spans="1:6" s="1" customFormat="1" ht="15.75" thickBot="1" x14ac:dyDescent="0.3">
      <c r="A62" s="23" t="s">
        <v>118</v>
      </c>
      <c r="B62" s="18"/>
      <c r="C62" s="40">
        <f t="shared" ref="C62:F62" si="6">SUM(C26:C61)</f>
        <v>72061.13</v>
      </c>
      <c r="D62" s="50">
        <f t="shared" si="6"/>
        <v>196310.084</v>
      </c>
      <c r="E62" s="34">
        <f t="shared" si="6"/>
        <v>824639.15800000005</v>
      </c>
      <c r="F62" s="46">
        <f t="shared" si="6"/>
        <v>652882.28799999983</v>
      </c>
    </row>
    <row r="63" spans="1:6" x14ac:dyDescent="0.25">
      <c r="A63" s="3"/>
      <c r="C63" s="10"/>
      <c r="D63" s="9"/>
      <c r="E63" s="5"/>
      <c r="F63" s="11"/>
    </row>
    <row r="64" spans="1:6" s="1" customFormat="1" x14ac:dyDescent="0.25">
      <c r="A64" s="7" t="s">
        <v>20</v>
      </c>
      <c r="C64" s="19"/>
      <c r="D64" s="28"/>
      <c r="E64" s="15"/>
      <c r="F64" s="26"/>
    </row>
    <row r="65" spans="1:6" s="1" customFormat="1" x14ac:dyDescent="0.25">
      <c r="A65" s="3">
        <v>8051</v>
      </c>
      <c r="B65" t="s">
        <v>126</v>
      </c>
      <c r="C65" s="30">
        <v>-27996</v>
      </c>
      <c r="D65" s="31">
        <v>-20879</v>
      </c>
      <c r="E65" s="22">
        <v>-27996</v>
      </c>
      <c r="F65" s="29">
        <v>-20879</v>
      </c>
    </row>
    <row r="66" spans="1:6" ht="15.75" thickBot="1" x14ac:dyDescent="0.3">
      <c r="A66" s="3">
        <v>8155</v>
      </c>
      <c r="B66" t="s">
        <v>12</v>
      </c>
      <c r="C66" s="30">
        <v>35</v>
      </c>
      <c r="D66" s="31">
        <v>139.5</v>
      </c>
      <c r="E66" s="22">
        <v>397.53</v>
      </c>
      <c r="F66" s="29">
        <v>209.5</v>
      </c>
    </row>
    <row r="67" spans="1:6" s="1" customFormat="1" x14ac:dyDescent="0.25">
      <c r="A67" s="58" t="s">
        <v>35</v>
      </c>
      <c r="B67" s="52"/>
      <c r="C67" s="44">
        <f t="shared" ref="C67:F67" si="7">SUM(C65)+SUM(C66)</f>
        <v>-27961</v>
      </c>
      <c r="D67" s="49">
        <f t="shared" si="7"/>
        <v>-20739.5</v>
      </c>
      <c r="E67" s="36">
        <f t="shared" si="7"/>
        <v>-27598.47</v>
      </c>
      <c r="F67" s="41">
        <f t="shared" si="7"/>
        <v>-20669.5</v>
      </c>
    </row>
    <row r="68" spans="1:6" x14ac:dyDescent="0.25">
      <c r="A68" s="3"/>
      <c r="C68" s="10"/>
      <c r="D68" s="9"/>
      <c r="E68" s="5"/>
      <c r="F68" s="11"/>
    </row>
    <row r="69" spans="1:6" s="1" customFormat="1" ht="15.75" thickBot="1" x14ac:dyDescent="0.3">
      <c r="A69" s="24" t="s">
        <v>84</v>
      </c>
      <c r="B69" s="16"/>
      <c r="C69" s="87">
        <f t="shared" ref="C69:F69" si="8">C23-C62-C67</f>
        <v>-43167.81</v>
      </c>
      <c r="D69" s="85">
        <f t="shared" si="8"/>
        <v>42629.415999999997</v>
      </c>
      <c r="E69" s="62">
        <f t="shared" si="8"/>
        <v>-210368.06800000006</v>
      </c>
      <c r="F69" s="84">
        <f t="shared" si="8"/>
        <v>49712.982000000193</v>
      </c>
    </row>
    <row r="70" spans="1:6" x14ac:dyDescent="0.25">
      <c r="A70" s="3"/>
      <c r="C70" s="10"/>
      <c r="D70" s="9"/>
      <c r="E70" s="5"/>
      <c r="F70" s="11"/>
    </row>
    <row r="71" spans="1:6" s="1" customFormat="1" ht="15.75" thickBot="1" x14ac:dyDescent="0.3">
      <c r="A71" s="7" t="s">
        <v>50</v>
      </c>
      <c r="C71" s="19"/>
      <c r="D71" s="28"/>
      <c r="E71" s="15"/>
      <c r="F71" s="26"/>
    </row>
    <row r="72" spans="1:6" x14ac:dyDescent="0.25">
      <c r="A72" s="55" t="s">
        <v>85</v>
      </c>
      <c r="B72" s="59"/>
      <c r="C72" s="44">
        <f t="shared" ref="C72:F72" si="9">SUM(0)</f>
        <v>0</v>
      </c>
      <c r="D72" s="49">
        <f t="shared" si="9"/>
        <v>0</v>
      </c>
      <c r="E72" s="36">
        <f t="shared" si="9"/>
        <v>0</v>
      </c>
      <c r="F72" s="41">
        <f t="shared" si="9"/>
        <v>0</v>
      </c>
    </row>
    <row r="73" spans="1:6" x14ac:dyDescent="0.25">
      <c r="A73" s="3"/>
      <c r="C73" s="10"/>
      <c r="D73" s="9"/>
      <c r="E73" s="5"/>
      <c r="F73" s="11"/>
    </row>
    <row r="74" spans="1:6" s="1" customFormat="1" ht="15.75" thickBot="1" x14ac:dyDescent="0.3">
      <c r="A74" s="54" t="s">
        <v>144</v>
      </c>
      <c r="B74" s="57"/>
      <c r="C74" s="83">
        <f t="shared" ref="C74:F74" si="10">C69-C72</f>
        <v>-43167.81</v>
      </c>
      <c r="D74" s="88">
        <f t="shared" si="10"/>
        <v>42629.415999999997</v>
      </c>
      <c r="E74" s="82">
        <f t="shared" si="10"/>
        <v>-210368.06800000006</v>
      </c>
      <c r="F74" s="86">
        <f t="shared" si="10"/>
        <v>49712.982000000193</v>
      </c>
    </row>
    <row r="75" spans="1:6" ht="15.75" thickTop="1" x14ac:dyDescent="0.25"/>
    <row r="200" spans="1:2" hidden="1" x14ac:dyDescent="0.25"/>
    <row r="201" spans="1:2" hidden="1" x14ac:dyDescent="0.25">
      <c r="B201" t="str">
        <f>VLOOKUP(RIGHT(202511,2),MANED3,2,FALSE)&amp;" - "</f>
        <v xml:space="preserve">November - </v>
      </c>
    </row>
    <row r="202" spans="1:2" hidden="1" x14ac:dyDescent="0.25">
      <c r="B202" t="str">
        <f>VLOOKUP(RIGHT(202512,2),MANED3,2,FALSE)&amp;"  "&amp;LEFT(202512,4)</f>
        <v>Desember  2025</v>
      </c>
    </row>
    <row r="203" spans="1:2" hidden="1" x14ac:dyDescent="0.25"/>
    <row r="204" spans="1:2" hidden="1" x14ac:dyDescent="0.25"/>
    <row r="205" spans="1:2" hidden="1" x14ac:dyDescent="0.25"/>
    <row r="206" spans="1:2" hidden="1" x14ac:dyDescent="0.25">
      <c r="A206" s="47" t="s">
        <v>65</v>
      </c>
      <c r="B206" s="43" t="s">
        <v>184</v>
      </c>
    </row>
    <row r="207" spans="1:2" hidden="1" x14ac:dyDescent="0.25">
      <c r="A207" s="47" t="s">
        <v>130</v>
      </c>
      <c r="B207" s="43" t="s">
        <v>1</v>
      </c>
    </row>
    <row r="208" spans="1:2" hidden="1" x14ac:dyDescent="0.25">
      <c r="A208" s="47" t="s">
        <v>185</v>
      </c>
      <c r="B208" s="43" t="s">
        <v>66</v>
      </c>
    </row>
    <row r="209" spans="1:2" hidden="1" x14ac:dyDescent="0.25">
      <c r="A209" s="47" t="s">
        <v>2</v>
      </c>
      <c r="B209" s="43" t="s">
        <v>21</v>
      </c>
    </row>
    <row r="210" spans="1:2" hidden="1" x14ac:dyDescent="0.25">
      <c r="A210" s="47" t="s">
        <v>67</v>
      </c>
      <c r="B210" s="43" t="s">
        <v>166</v>
      </c>
    </row>
    <row r="211" spans="1:2" hidden="1" x14ac:dyDescent="0.25">
      <c r="A211" s="47" t="s">
        <v>131</v>
      </c>
      <c r="B211" s="43" t="s">
        <v>217</v>
      </c>
    </row>
    <row r="212" spans="1:2" hidden="1" x14ac:dyDescent="0.25">
      <c r="A212" s="47" t="s">
        <v>186</v>
      </c>
      <c r="B212" s="43" t="s">
        <v>101</v>
      </c>
    </row>
    <row r="213" spans="1:2" hidden="1" x14ac:dyDescent="0.25">
      <c r="A213" s="47" t="s">
        <v>3</v>
      </c>
      <c r="B213" s="43" t="s">
        <v>102</v>
      </c>
    </row>
    <row r="214" spans="1:2" hidden="1" x14ac:dyDescent="0.25">
      <c r="A214" s="47" t="s">
        <v>68</v>
      </c>
      <c r="B214" s="43" t="s">
        <v>86</v>
      </c>
    </row>
    <row r="215" spans="1:2" hidden="1" x14ac:dyDescent="0.25">
      <c r="A215" s="47" t="s">
        <v>187</v>
      </c>
      <c r="B215" s="43" t="s">
        <v>167</v>
      </c>
    </row>
    <row r="216" spans="1:2" hidden="1" x14ac:dyDescent="0.25">
      <c r="A216" s="47" t="s">
        <v>4</v>
      </c>
      <c r="B216" s="43" t="s">
        <v>5</v>
      </c>
    </row>
    <row r="217" spans="1:2" hidden="1" x14ac:dyDescent="0.25">
      <c r="A217" s="47" t="s">
        <v>69</v>
      </c>
      <c r="B217" s="43" t="s">
        <v>103</v>
      </c>
    </row>
    <row r="218" spans="1:2" hidden="1" x14ac:dyDescent="0.2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68"/>
  <sheetViews>
    <sheetView tabSelected="1" workbookViewId="0">
      <selection activeCell="E5" sqref="E5:I5"/>
    </sheetView>
  </sheetViews>
  <sheetFormatPr baseColWidth="10" defaultColWidth="11.42578125" defaultRowHeight="15" x14ac:dyDescent="0.25"/>
  <cols>
    <col min="1" max="1" width="10.85546875" customWidth="1"/>
    <col min="2" max="2" width="33.7109375" customWidth="1"/>
    <col min="3" max="4" width="15.140625" customWidth="1"/>
    <col min="5" max="5" width="15" style="13" customWidth="1"/>
    <col min="6" max="6" width="15.140625" style="13" customWidth="1"/>
  </cols>
  <sheetData>
    <row r="1" spans="1:9" x14ac:dyDescent="0.25">
      <c r="A1" t="s">
        <v>235</v>
      </c>
    </row>
    <row r="3" spans="1:9" ht="26.25" x14ac:dyDescent="0.4">
      <c r="A3" s="48" t="s">
        <v>158</v>
      </c>
      <c r="C3" s="45" t="s">
        <v>214</v>
      </c>
    </row>
    <row r="4" spans="1:9" ht="15.75" x14ac:dyDescent="0.25">
      <c r="A4" t="s">
        <v>53</v>
      </c>
      <c r="C4" s="74" t="str">
        <f>CONCATENATE(B151," ",B152)</f>
        <v>November -  Desember  2025</v>
      </c>
    </row>
    <row r="5" spans="1:9" ht="15.75" x14ac:dyDescent="0.25">
      <c r="A5" s="1">
        <v>4</v>
      </c>
      <c r="B5" s="1" t="s">
        <v>201</v>
      </c>
      <c r="C5" s="1"/>
      <c r="D5" s="1"/>
      <c r="E5" s="179" t="s">
        <v>236</v>
      </c>
      <c r="F5" s="180" t="s">
        <v>237</v>
      </c>
      <c r="G5" s="180" t="s">
        <v>237</v>
      </c>
      <c r="H5" s="180" t="s">
        <v>237</v>
      </c>
      <c r="I5" s="180" t="s">
        <v>237</v>
      </c>
    </row>
    <row r="6" spans="1:9" ht="15.75" thickBot="1" x14ac:dyDescent="0.3"/>
    <row r="7" spans="1:9" s="1" customFormat="1" ht="15.75" thickTop="1" x14ac:dyDescent="0.25">
      <c r="A7" s="37"/>
      <c r="B7" s="35"/>
      <c r="C7" s="78" t="s">
        <v>157</v>
      </c>
      <c r="D7" s="76" t="s">
        <v>157</v>
      </c>
      <c r="E7" s="60" t="s">
        <v>18</v>
      </c>
      <c r="F7" s="68" t="s">
        <v>18</v>
      </c>
    </row>
    <row r="8" spans="1:9" s="1" customFormat="1" ht="15.75" thickBot="1" x14ac:dyDescent="0.3">
      <c r="A8" s="24"/>
      <c r="B8" s="16"/>
      <c r="C8" s="63" t="s">
        <v>19</v>
      </c>
      <c r="D8" s="75" t="s">
        <v>181</v>
      </c>
      <c r="E8" s="56" t="s">
        <v>19</v>
      </c>
      <c r="F8" s="67" t="s">
        <v>181</v>
      </c>
    </row>
    <row r="9" spans="1:9" s="1" customFormat="1" ht="15.75" thickBot="1" x14ac:dyDescent="0.3">
      <c r="A9" s="7" t="s">
        <v>0</v>
      </c>
      <c r="C9" s="71"/>
      <c r="D9" s="81"/>
      <c r="E9" s="53"/>
      <c r="F9" s="72"/>
    </row>
    <row r="10" spans="1:9" s="1" customFormat="1" ht="15.75" thickBot="1" x14ac:dyDescent="0.3">
      <c r="A10" s="23" t="s">
        <v>117</v>
      </c>
      <c r="B10" s="18"/>
      <c r="C10" s="40">
        <f t="shared" ref="C10:F10" si="0">SUM(0)</f>
        <v>0</v>
      </c>
      <c r="D10" s="50">
        <f t="shared" si="0"/>
        <v>0</v>
      </c>
      <c r="E10" s="34">
        <f t="shared" si="0"/>
        <v>0</v>
      </c>
      <c r="F10" s="46">
        <f t="shared" si="0"/>
        <v>0</v>
      </c>
    </row>
    <row r="11" spans="1:9" x14ac:dyDescent="0.25">
      <c r="A11" s="3"/>
      <c r="C11" s="10"/>
      <c r="D11" s="9"/>
      <c r="E11" s="5"/>
      <c r="F11" s="11"/>
    </row>
    <row r="12" spans="1:9" s="1" customFormat="1" ht="15.75" thickBot="1" x14ac:dyDescent="0.3">
      <c r="A12" s="7" t="s">
        <v>215</v>
      </c>
      <c r="C12" s="19"/>
      <c r="D12" s="28"/>
      <c r="E12" s="15"/>
      <c r="F12" s="26"/>
    </row>
    <row r="13" spans="1:9" s="1" customFormat="1" ht="15.75" thickBot="1" x14ac:dyDescent="0.3">
      <c r="A13" s="23" t="s">
        <v>118</v>
      </c>
      <c r="B13" s="18"/>
      <c r="C13" s="40">
        <f t="shared" ref="C13:F13" si="1">SUM(0)</f>
        <v>0</v>
      </c>
      <c r="D13" s="50">
        <f t="shared" si="1"/>
        <v>0</v>
      </c>
      <c r="E13" s="34">
        <f t="shared" si="1"/>
        <v>0</v>
      </c>
      <c r="F13" s="46">
        <f t="shared" si="1"/>
        <v>0</v>
      </c>
    </row>
    <row r="14" spans="1:9" x14ac:dyDescent="0.25">
      <c r="A14" s="3"/>
      <c r="C14" s="10"/>
      <c r="D14" s="9"/>
      <c r="E14" s="5"/>
      <c r="F14" s="11"/>
    </row>
    <row r="15" spans="1:9" s="1" customFormat="1" x14ac:dyDescent="0.25">
      <c r="A15" s="7" t="s">
        <v>20</v>
      </c>
      <c r="C15" s="19"/>
      <c r="D15" s="28"/>
      <c r="E15" s="15"/>
      <c r="F15" s="26"/>
    </row>
    <row r="16" spans="1:9" s="1" customFormat="1" ht="15.75" thickBot="1" x14ac:dyDescent="0.3">
      <c r="A16" s="3">
        <v>8051</v>
      </c>
      <c r="B16" t="s">
        <v>126</v>
      </c>
      <c r="C16" s="30">
        <v>-11</v>
      </c>
      <c r="D16" s="31">
        <v>-38</v>
      </c>
      <c r="E16" s="22">
        <v>-11</v>
      </c>
      <c r="F16" s="29">
        <v>-38</v>
      </c>
    </row>
    <row r="17" spans="1:6" s="1" customFormat="1" x14ac:dyDescent="0.25">
      <c r="A17" s="58" t="s">
        <v>35</v>
      </c>
      <c r="B17" s="52"/>
      <c r="C17" s="44">
        <f t="shared" ref="C17:F17" si="2">SUM(C16)+SUM(0)</f>
        <v>-11</v>
      </c>
      <c r="D17" s="49">
        <f t="shared" si="2"/>
        <v>-38</v>
      </c>
      <c r="E17" s="36">
        <f t="shared" si="2"/>
        <v>-11</v>
      </c>
      <c r="F17" s="41">
        <f t="shared" si="2"/>
        <v>-38</v>
      </c>
    </row>
    <row r="18" spans="1:6" x14ac:dyDescent="0.25">
      <c r="A18" s="3"/>
      <c r="C18" s="10"/>
      <c r="D18" s="9"/>
      <c r="E18" s="5"/>
      <c r="F18" s="11"/>
    </row>
    <row r="19" spans="1:6" s="1" customFormat="1" ht="15.75" thickBot="1" x14ac:dyDescent="0.3">
      <c r="A19" s="24" t="s">
        <v>84</v>
      </c>
      <c r="B19" s="16"/>
      <c r="C19" s="87">
        <f t="shared" ref="C19:F19" si="3">C10-C13-C17</f>
        <v>11</v>
      </c>
      <c r="D19" s="85">
        <f t="shared" si="3"/>
        <v>38</v>
      </c>
      <c r="E19" s="62">
        <f t="shared" si="3"/>
        <v>11</v>
      </c>
      <c r="F19" s="84">
        <f t="shared" si="3"/>
        <v>38</v>
      </c>
    </row>
    <row r="20" spans="1:6" x14ac:dyDescent="0.25">
      <c r="A20" s="3"/>
      <c r="C20" s="10"/>
      <c r="D20" s="9"/>
      <c r="E20" s="5"/>
      <c r="F20" s="11"/>
    </row>
    <row r="21" spans="1:6" s="1" customFormat="1" ht="15.75" thickBot="1" x14ac:dyDescent="0.3">
      <c r="A21" s="7" t="s">
        <v>50</v>
      </c>
      <c r="C21" s="19"/>
      <c r="D21" s="28"/>
      <c r="E21" s="15"/>
      <c r="F21" s="26"/>
    </row>
    <row r="22" spans="1:6" x14ac:dyDescent="0.25">
      <c r="A22" s="55" t="s">
        <v>85</v>
      </c>
      <c r="B22" s="59"/>
      <c r="C22" s="44">
        <f t="shared" ref="C22:F22" si="4">SUM(0)</f>
        <v>0</v>
      </c>
      <c r="D22" s="49">
        <f t="shared" si="4"/>
        <v>0</v>
      </c>
      <c r="E22" s="36">
        <f t="shared" si="4"/>
        <v>0</v>
      </c>
      <c r="F22" s="41">
        <f t="shared" si="4"/>
        <v>0</v>
      </c>
    </row>
    <row r="23" spans="1:6" x14ac:dyDescent="0.25">
      <c r="A23" s="3"/>
      <c r="C23" s="10"/>
      <c r="D23" s="9"/>
      <c r="E23" s="5"/>
      <c r="F23" s="11"/>
    </row>
    <row r="24" spans="1:6" s="1" customFormat="1" ht="15.75" thickBot="1" x14ac:dyDescent="0.3">
      <c r="A24" s="54" t="s">
        <v>144</v>
      </c>
      <c r="B24" s="57"/>
      <c r="C24" s="83">
        <f t="shared" ref="C24:F24" si="5">C19-C22</f>
        <v>11</v>
      </c>
      <c r="D24" s="88">
        <f t="shared" si="5"/>
        <v>38</v>
      </c>
      <c r="E24" s="82">
        <f t="shared" si="5"/>
        <v>11</v>
      </c>
      <c r="F24" s="86">
        <f t="shared" si="5"/>
        <v>38</v>
      </c>
    </row>
    <row r="25" spans="1:6" ht="15.75" thickTop="1" x14ac:dyDescent="0.25"/>
    <row r="150" spans="1:2" hidden="1" x14ac:dyDescent="0.25"/>
    <row r="151" spans="1:2" hidden="1" x14ac:dyDescent="0.25">
      <c r="B151" t="str">
        <f>VLOOKUP(RIGHT(202511,2),MANED3,2,FALSE)&amp;" - "</f>
        <v xml:space="preserve">November - </v>
      </c>
    </row>
    <row r="152" spans="1:2" hidden="1" x14ac:dyDescent="0.25">
      <c r="B152" t="str">
        <f>VLOOKUP(RIGHT(202512,2),MANED3,2,FALSE)&amp;"  "&amp;LEFT(202512,4)</f>
        <v>Desember  2025</v>
      </c>
    </row>
    <row r="153" spans="1:2" hidden="1" x14ac:dyDescent="0.25"/>
    <row r="154" spans="1:2" hidden="1" x14ac:dyDescent="0.25"/>
    <row r="155" spans="1:2" hidden="1" x14ac:dyDescent="0.25"/>
    <row r="156" spans="1:2" hidden="1" x14ac:dyDescent="0.25">
      <c r="A156" s="47" t="s">
        <v>65</v>
      </c>
      <c r="B156" s="43" t="s">
        <v>184</v>
      </c>
    </row>
    <row r="157" spans="1:2" hidden="1" x14ac:dyDescent="0.25">
      <c r="A157" s="47" t="s">
        <v>130</v>
      </c>
      <c r="B157" s="43" t="s">
        <v>1</v>
      </c>
    </row>
    <row r="158" spans="1:2" hidden="1" x14ac:dyDescent="0.25">
      <c r="A158" s="47" t="s">
        <v>185</v>
      </c>
      <c r="B158" s="43" t="s">
        <v>66</v>
      </c>
    </row>
    <row r="159" spans="1:2" hidden="1" x14ac:dyDescent="0.25">
      <c r="A159" s="47" t="s">
        <v>2</v>
      </c>
      <c r="B159" s="43" t="s">
        <v>21</v>
      </c>
    </row>
    <row r="160" spans="1:2" hidden="1" x14ac:dyDescent="0.25">
      <c r="A160" s="47" t="s">
        <v>67</v>
      </c>
      <c r="B160" s="43" t="s">
        <v>166</v>
      </c>
    </row>
    <row r="161" spans="1:2" hidden="1" x14ac:dyDescent="0.25">
      <c r="A161" s="47" t="s">
        <v>131</v>
      </c>
      <c r="B161" s="43" t="s">
        <v>217</v>
      </c>
    </row>
    <row r="162" spans="1:2" hidden="1" x14ac:dyDescent="0.25">
      <c r="A162" s="47" t="s">
        <v>186</v>
      </c>
      <c r="B162" s="43" t="s">
        <v>101</v>
      </c>
    </row>
    <row r="163" spans="1:2" hidden="1" x14ac:dyDescent="0.25">
      <c r="A163" s="47" t="s">
        <v>3</v>
      </c>
      <c r="B163" s="43" t="s">
        <v>102</v>
      </c>
    </row>
    <row r="164" spans="1:2" hidden="1" x14ac:dyDescent="0.25">
      <c r="A164" s="47" t="s">
        <v>68</v>
      </c>
      <c r="B164" s="43" t="s">
        <v>86</v>
      </c>
    </row>
    <row r="165" spans="1:2" hidden="1" x14ac:dyDescent="0.25">
      <c r="A165" s="47" t="s">
        <v>187</v>
      </c>
      <c r="B165" s="43" t="s">
        <v>167</v>
      </c>
    </row>
    <row r="166" spans="1:2" hidden="1" x14ac:dyDescent="0.25">
      <c r="A166" s="47" t="s">
        <v>4</v>
      </c>
      <c r="B166" s="43" t="s">
        <v>5</v>
      </c>
    </row>
    <row r="167" spans="1:2" hidden="1" x14ac:dyDescent="0.25">
      <c r="A167" s="47" t="s">
        <v>69</v>
      </c>
      <c r="B167" s="43" t="s">
        <v>103</v>
      </c>
    </row>
    <row r="168" spans="1:2" hidden="1" x14ac:dyDescent="0.2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72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10.85546875" customWidth="1"/>
    <col min="2" max="2" width="33.7109375" customWidth="1"/>
    <col min="3" max="4" width="15.140625" customWidth="1"/>
    <col min="5" max="5" width="15" style="13" customWidth="1"/>
    <col min="6" max="9" width="15.140625" style="13" customWidth="1"/>
  </cols>
  <sheetData>
    <row r="1" spans="1:9" x14ac:dyDescent="0.25">
      <c r="A1" t="s">
        <v>156</v>
      </c>
    </row>
    <row r="3" spans="1:9" ht="26.25" x14ac:dyDescent="0.4">
      <c r="A3" s="48" t="e">
        <f ca="1">_xll.OneStop.ReportPlayer.OSRFunctions.OSRGet("ThisCompany","CompanyName")</f>
        <v>#NAME?</v>
      </c>
      <c r="F3" s="45" t="s">
        <v>214</v>
      </c>
      <c r="I3" s="38" t="s">
        <v>115</v>
      </c>
    </row>
    <row r="4" spans="1:9" ht="15.75" x14ac:dyDescent="0.25">
      <c r="A4" t="s">
        <v>53</v>
      </c>
      <c r="F4" s="74" t="e">
        <f ca="1">CONCATENATE(B155," ",B156)</f>
        <v>#NAME?</v>
      </c>
      <c r="I4" s="39">
        <f ca="1">NOW()</f>
        <v>46133.427832754627</v>
      </c>
    </row>
    <row r="5" spans="1:9" x14ac:dyDescent="0.25">
      <c r="A5" s="1" t="e">
        <f ca="1">_xll.OneStop.ReportPlayer.OSRFunctions.OSRGet("Journal_Department","DepId")</f>
        <v>#NAME?</v>
      </c>
      <c r="B5" s="1" t="e">
        <f ca="1">_xll.OneStop.ReportPlayer.OSRFunctions.OSRGet("Journal_Department","Name")</f>
        <v>#NAME?</v>
      </c>
      <c r="C5" s="1"/>
      <c r="D5" s="1"/>
    </row>
    <row r="6" spans="1:9" ht="15.75" thickBot="1" x14ac:dyDescent="0.3"/>
    <row r="7" spans="1:9" s="1" customFormat="1" ht="15.75" thickTop="1" x14ac:dyDescent="0.25">
      <c r="A7" s="37"/>
      <c r="B7" s="35"/>
      <c r="C7" s="78" t="s">
        <v>157</v>
      </c>
      <c r="D7" s="76" t="s">
        <v>157</v>
      </c>
      <c r="E7" s="60" t="s">
        <v>18</v>
      </c>
      <c r="F7" s="68" t="s">
        <v>18</v>
      </c>
      <c r="G7" s="25"/>
      <c r="H7" s="77" t="s">
        <v>19</v>
      </c>
      <c r="I7" s="25"/>
    </row>
    <row r="8" spans="1:9" s="1" customFormat="1" ht="15.75" thickBot="1" x14ac:dyDescent="0.3">
      <c r="A8" s="24"/>
      <c r="B8" s="16"/>
      <c r="C8" s="63" t="s">
        <v>19</v>
      </c>
      <c r="D8" s="75" t="s">
        <v>181</v>
      </c>
      <c r="E8" s="56" t="s">
        <v>19</v>
      </c>
      <c r="F8" s="67" t="s">
        <v>181</v>
      </c>
      <c r="G8" s="27" t="s">
        <v>116</v>
      </c>
      <c r="H8" s="66" t="s">
        <v>129</v>
      </c>
      <c r="I8" s="27" t="s">
        <v>116</v>
      </c>
    </row>
    <row r="9" spans="1:9" s="1" customFormat="1" x14ac:dyDescent="0.25">
      <c r="A9" s="7" t="s">
        <v>0</v>
      </c>
      <c r="C9" s="71"/>
      <c r="D9" s="81"/>
      <c r="E9" s="53"/>
      <c r="F9" s="72"/>
      <c r="G9" s="20"/>
      <c r="H9" s="64"/>
      <c r="I9" s="20"/>
    </row>
    <row r="10" spans="1:9" ht="15.75" thickBot="1" x14ac:dyDescent="0.3">
      <c r="A10" s="3" t="e">
        <f ca="1">_xll.OneStop.ReportPlayer.OSRFunctions.OSRGet("Journal_Account","AccountNo")</f>
        <v>#NAME?</v>
      </c>
      <c r="B10" t="e">
        <f ca="1">_xll.OneStop.ReportPlayer.OSRFunctions.OSRGet("Journal_Account","AccountName")</f>
        <v>#NAME?</v>
      </c>
      <c r="C10" s="10" t="e">
        <f ca="1">-_xll.OneStop.ReportPlayer.OSRFunctions.OSRGet("Journal_SubEntry","AmtCur")</f>
        <v>#NAME?</v>
      </c>
      <c r="D10" s="9" t="e">
        <f ca="1">-_xll.OneStop.ReportPlayer.OSRFunctions.OSRGet("Journal_SubEntry","AmtCur")</f>
        <v>#NAME?</v>
      </c>
      <c r="E10" s="5" t="e">
        <f ca="1">-_xll.OneStop.ReportPlayer.OSRFunctions.OSRGet("Journal_SubEntry","AmtCur")</f>
        <v>#NAME?</v>
      </c>
      <c r="F10" s="11" t="e">
        <f ca="1">-_xll.OneStop.ReportPlayer.OSRFunctions.OSRGet("Journal_SubEntry","AmtCur")</f>
        <v>#NAME?</v>
      </c>
      <c r="G10" s="2" t="e">
        <f t="shared" ref="G10:G11" ca="1" si="0">E10-F10</f>
        <v>#NAME?</v>
      </c>
      <c r="H10" s="8" t="e">
        <f ca="1">_xll.OneStop.ReportPlayer.OSRFunctions.OSRGet("FactBudgetTrans","Budget Amount")</f>
        <v>#NAME?</v>
      </c>
      <c r="I10" s="2" t="e">
        <f t="shared" ref="I10:I11" ca="1" si="1">E10-H10</f>
        <v>#NAME?</v>
      </c>
    </row>
    <row r="11" spans="1:9" s="1" customFormat="1" ht="15.75" thickBot="1" x14ac:dyDescent="0.3">
      <c r="A11" s="23" t="s">
        <v>117</v>
      </c>
      <c r="B11" s="18"/>
      <c r="C11" s="110" t="e">
        <f ca="1">SUM(_xll.OneStop.ReportPlayer.OSRFunctions.OSRRef(C10))</f>
        <v>#NAME?</v>
      </c>
      <c r="D11" s="119" t="e">
        <f ca="1">SUM(_xll.OneStop.ReportPlayer.OSRFunctions.OSRRef(D10))</f>
        <v>#NAME?</v>
      </c>
      <c r="E11" s="94" t="e">
        <f ca="1">SUM(_xll.OneStop.ReportPlayer.OSRFunctions.OSRRef(E10))</f>
        <v>#NAME?</v>
      </c>
      <c r="F11" s="115" t="e">
        <f ca="1">SUM(_xll.OneStop.ReportPlayer.OSRFunctions.OSRRef(F10))</f>
        <v>#NAME?</v>
      </c>
      <c r="G11" s="51" t="e">
        <f t="shared" ca="1" si="0"/>
        <v>#NAME?</v>
      </c>
      <c r="H11" s="127" t="e">
        <f ca="1">SUM(_xll.OneStop.ReportPlayer.OSRFunctions.OSRRef(H10))</f>
        <v>#NAME?</v>
      </c>
      <c r="I11" s="51" t="e">
        <f t="shared" ca="1" si="1"/>
        <v>#NAME?</v>
      </c>
    </row>
    <row r="12" spans="1:9" x14ac:dyDescent="0.25">
      <c r="A12" s="3"/>
      <c r="C12" s="10"/>
      <c r="D12" s="9"/>
      <c r="E12" s="5"/>
      <c r="F12" s="11"/>
      <c r="G12" s="2"/>
      <c r="H12" s="8"/>
      <c r="I12" s="2"/>
    </row>
    <row r="13" spans="1:9" s="1" customFormat="1" x14ac:dyDescent="0.25">
      <c r="A13" s="7" t="s">
        <v>215</v>
      </c>
      <c r="C13" s="19"/>
      <c r="D13" s="28"/>
      <c r="E13" s="15"/>
      <c r="F13" s="26"/>
      <c r="G13" s="4"/>
      <c r="H13" s="21"/>
      <c r="I13" s="4"/>
    </row>
    <row r="14" spans="1:9" ht="15.75" thickBot="1" x14ac:dyDescent="0.3">
      <c r="A14" s="3" t="e">
        <f ca="1">_xll.OneStop.ReportPlayer.OSRFunctions.OSRGet("Journal_Account","AccountNo")</f>
        <v>#NAME?</v>
      </c>
      <c r="B14" t="e">
        <f ca="1">_xll.OneStop.ReportPlayer.OSRFunctions.OSRGet("Journal_Account","AccountName")</f>
        <v>#NAME?</v>
      </c>
      <c r="C14" s="10" t="e">
        <f ca="1">_xll.OneStop.ReportPlayer.OSRFunctions.OSRGet("Journal_SubEntry","AmtCur")</f>
        <v>#NAME?</v>
      </c>
      <c r="D14" s="9" t="e">
        <f ca="1">_xll.OneStop.ReportPlayer.OSRFunctions.OSRGet("Journal_SubEntry","AmtCur")</f>
        <v>#NAME?</v>
      </c>
      <c r="E14" s="5" t="e">
        <f ca="1">_xll.OneStop.ReportPlayer.OSRFunctions.OSRGet("Journal_SubEntry","AmtCur")</f>
        <v>#NAME?</v>
      </c>
      <c r="F14" s="11" t="e">
        <f ca="1">_xll.OneStop.ReportPlayer.OSRFunctions.OSRGet("Journal_SubEntry","AmtCur")</f>
        <v>#NAME?</v>
      </c>
      <c r="G14" s="2" t="e">
        <f t="shared" ref="G14:G15" ca="1" si="2">E14-F14</f>
        <v>#NAME?</v>
      </c>
      <c r="H14" s="8" t="e">
        <f ca="1">_xll.OneStop.ReportPlayer.OSRFunctions.OSRGet("FactBudgetTrans","Budget Amount")</f>
        <v>#NAME?</v>
      </c>
      <c r="I14" s="2" t="e">
        <f t="shared" ref="I14:I15" ca="1" si="3">E14-H14</f>
        <v>#NAME?</v>
      </c>
    </row>
    <row r="15" spans="1:9" s="1" customFormat="1" ht="15.75" thickBot="1" x14ac:dyDescent="0.3">
      <c r="A15" s="23" t="s">
        <v>118</v>
      </c>
      <c r="B15" s="18"/>
      <c r="C15" s="110" t="e">
        <f ca="1">SUM(_xll.OneStop.ReportPlayer.OSRFunctions.OSRRef(C14))</f>
        <v>#NAME?</v>
      </c>
      <c r="D15" s="119" t="e">
        <f ca="1">SUM(_xll.OneStop.ReportPlayer.OSRFunctions.OSRRef(D14))</f>
        <v>#NAME?</v>
      </c>
      <c r="E15" s="94" t="e">
        <f ca="1">SUM(_xll.OneStop.ReportPlayer.OSRFunctions.OSRRef(E14))</f>
        <v>#NAME?</v>
      </c>
      <c r="F15" s="115" t="e">
        <f ca="1">SUM(_xll.OneStop.ReportPlayer.OSRFunctions.OSRRef(F14))</f>
        <v>#NAME?</v>
      </c>
      <c r="G15" s="51" t="e">
        <f t="shared" ca="1" si="2"/>
        <v>#NAME?</v>
      </c>
      <c r="H15" s="127" t="e">
        <f ca="1">SUM(_xll.OneStop.ReportPlayer.OSRFunctions.OSRRef(H14))</f>
        <v>#NAME?</v>
      </c>
      <c r="I15" s="51" t="e">
        <f t="shared" ca="1" si="3"/>
        <v>#NAME?</v>
      </c>
    </row>
    <row r="16" spans="1:9" x14ac:dyDescent="0.25">
      <c r="A16" s="3"/>
      <c r="C16" s="10"/>
      <c r="D16" s="9"/>
      <c r="E16" s="5"/>
      <c r="F16" s="11"/>
      <c r="G16" s="2"/>
      <c r="H16" s="8"/>
      <c r="I16" s="2"/>
    </row>
    <row r="17" spans="1:9" s="1" customFormat="1" x14ac:dyDescent="0.25">
      <c r="A17" s="7" t="s">
        <v>20</v>
      </c>
      <c r="C17" s="19"/>
      <c r="D17" s="28"/>
      <c r="E17" s="15"/>
      <c r="F17" s="26"/>
      <c r="G17" s="4"/>
      <c r="H17" s="21"/>
      <c r="I17" s="4"/>
    </row>
    <row r="18" spans="1:9" s="1" customFormat="1" x14ac:dyDescent="0.25">
      <c r="A18" s="3" t="e">
        <f ca="1">_xll.OneStop.ReportPlayer.OSRFunctions.OSRGet("Journal_Account","AccountNo")</f>
        <v>#NAME?</v>
      </c>
      <c r="B18" t="e">
        <f ca="1">_xll.OneStop.ReportPlayer.OSRFunctions.OSRGet("Journal_Account","AccountName")</f>
        <v>#NAME?</v>
      </c>
      <c r="C18" s="10" t="e">
        <f ca="1">_xll.OneStop.ReportPlayer.OSRFunctions.OSRGet("Journal_SubEntry","AmtCur")</f>
        <v>#NAME?</v>
      </c>
      <c r="D18" s="9" t="e">
        <f ca="1">_xll.OneStop.ReportPlayer.OSRFunctions.OSRGet("Journal_SubEntry","AmtCur")</f>
        <v>#NAME?</v>
      </c>
      <c r="E18" s="5" t="e">
        <f ca="1">_xll.OneStop.ReportPlayer.OSRFunctions.OSRGet("Journal_SubEntry","AmtCur")</f>
        <v>#NAME?</v>
      </c>
      <c r="F18" s="11" t="e">
        <f ca="1">_xll.OneStop.ReportPlayer.OSRFunctions.OSRGet("Journal_SubEntry","AmtCur")</f>
        <v>#NAME?</v>
      </c>
      <c r="G18" s="2" t="e">
        <f t="shared" ref="G18:G20" ca="1" si="4">E18-F18</f>
        <v>#NAME?</v>
      </c>
      <c r="H18" s="8" t="e">
        <f ca="1">-_xll.OneStop.ReportPlayer.OSRFunctions.OSRGet("FactBudgetTrans","Budget Amount")</f>
        <v>#NAME?</v>
      </c>
      <c r="I18" s="2" t="e">
        <f t="shared" ref="I18:I20" ca="1" si="5">E18-H18</f>
        <v>#NAME?</v>
      </c>
    </row>
    <row r="19" spans="1:9" ht="15.75" thickBot="1" x14ac:dyDescent="0.3">
      <c r="A19" s="3" t="e">
        <f ca="1">_xll.OneStop.ReportPlayer.OSRFunctions.OSRGet("Journal_Account","AccountNo")</f>
        <v>#NAME?</v>
      </c>
      <c r="B19" t="e">
        <f ca="1">_xll.OneStop.ReportPlayer.OSRFunctions.OSRGet("Journal_Account","AccountName")</f>
        <v>#NAME?</v>
      </c>
      <c r="C19" s="10" t="e">
        <f ca="1">_xll.OneStop.ReportPlayer.OSRFunctions.OSRGet("Journal_SubEntry","AmtCur")</f>
        <v>#NAME?</v>
      </c>
      <c r="D19" s="9" t="e">
        <f ca="1">_xll.OneStop.ReportPlayer.OSRFunctions.OSRGet("Journal_SubEntry","AmtCur")</f>
        <v>#NAME?</v>
      </c>
      <c r="E19" s="5" t="e">
        <f ca="1">_xll.OneStop.ReportPlayer.OSRFunctions.OSRGet("Journal_SubEntry","AmtCur")</f>
        <v>#NAME?</v>
      </c>
      <c r="F19" s="11" t="e">
        <f ca="1">_xll.OneStop.ReportPlayer.OSRFunctions.OSRGet("Journal_SubEntry","AmtCur")</f>
        <v>#NAME?</v>
      </c>
      <c r="G19" s="2" t="e">
        <f t="shared" ca="1" si="4"/>
        <v>#NAME?</v>
      </c>
      <c r="H19" s="8" t="e">
        <f ca="1">_xll.OneStop.ReportPlayer.OSRFunctions.OSRGet("FactBudgetTrans","Budget Amount")</f>
        <v>#NAME?</v>
      </c>
      <c r="I19" s="2" t="e">
        <f t="shared" ca="1" si="5"/>
        <v>#NAME?</v>
      </c>
    </row>
    <row r="20" spans="1:9" s="1" customFormat="1" x14ac:dyDescent="0.25">
      <c r="A20" s="58" t="s">
        <v>35</v>
      </c>
      <c r="B20" s="52"/>
      <c r="C20" s="111" t="e">
        <f ca="1">SUM(_xll.OneStop.ReportPlayer.OSRFunctions.OSRRef(C18))+SUM(_xll.OneStop.ReportPlayer.OSRFunctions.OSRRef(C19))</f>
        <v>#NAME?</v>
      </c>
      <c r="D20" s="106" t="e">
        <f ca="1">SUM(_xll.OneStop.ReportPlayer.OSRFunctions.OSRRef(D18))+SUM(_xll.OneStop.ReportPlayer.OSRFunctions.OSRRef(D19))</f>
        <v>#NAME?</v>
      </c>
      <c r="E20" s="105" t="e">
        <f ca="1">SUM(_xll.OneStop.ReportPlayer.OSRFunctions.OSRRef(E18))+SUM(_xll.OneStop.ReportPlayer.OSRFunctions.OSRRef(E19))</f>
        <v>#NAME?</v>
      </c>
      <c r="F20" s="132" t="e">
        <f ca="1">SUM(_xll.OneStop.ReportPlayer.OSRFunctions.OSRRef(F18))+SUM(_xll.OneStop.ReportPlayer.OSRFunctions.OSRRef(F19))</f>
        <v>#NAME?</v>
      </c>
      <c r="G20" s="65" t="e">
        <f t="shared" ca="1" si="4"/>
        <v>#NAME?</v>
      </c>
      <c r="H20" s="120" t="e">
        <f ca="1">SUM(_xll.OneStop.ReportPlayer.OSRFunctions.OSRRef(H18))+SUM(_xll.OneStop.ReportPlayer.OSRFunctions.OSRRef(H19))</f>
        <v>#NAME?</v>
      </c>
      <c r="I20" s="65" t="e">
        <f t="shared" ca="1" si="5"/>
        <v>#NAME?</v>
      </c>
    </row>
    <row r="21" spans="1:9" x14ac:dyDescent="0.25">
      <c r="A21" s="3"/>
      <c r="C21" s="10"/>
      <c r="D21" s="9"/>
      <c r="E21" s="5"/>
      <c r="F21" s="11"/>
      <c r="G21" s="2"/>
      <c r="H21" s="8"/>
      <c r="I21" s="2"/>
    </row>
    <row r="22" spans="1:9" s="1" customFormat="1" ht="15.75" thickBot="1" x14ac:dyDescent="0.3">
      <c r="A22" s="24" t="s">
        <v>84</v>
      </c>
      <c r="B22" s="16"/>
      <c r="C22" s="157" t="e">
        <f t="shared" ref="C22:F22" ca="1" si="6">C11-C15-C20</f>
        <v>#NAME?</v>
      </c>
      <c r="D22" s="147" t="e">
        <f t="shared" ca="1" si="6"/>
        <v>#NAME?</v>
      </c>
      <c r="E22" s="117" t="e">
        <f t="shared" ca="1" si="6"/>
        <v>#NAME?</v>
      </c>
      <c r="F22" s="153" t="e">
        <f t="shared" ca="1" si="6"/>
        <v>#NAME?</v>
      </c>
      <c r="G22" s="96" t="e">
        <f ca="1">E22-F22</f>
        <v>#NAME?</v>
      </c>
      <c r="H22" s="172" t="e">
        <f ca="1">H11-H15-H20</f>
        <v>#NAME?</v>
      </c>
      <c r="I22" s="96" t="e">
        <f ca="1">E22-H22</f>
        <v>#NAME?</v>
      </c>
    </row>
    <row r="23" spans="1:9" x14ac:dyDescent="0.25">
      <c r="A23" s="3"/>
      <c r="C23" s="10"/>
      <c r="D23" s="9"/>
      <c r="E23" s="5"/>
      <c r="F23" s="11"/>
      <c r="G23" s="2"/>
      <c r="H23" s="8"/>
      <c r="I23" s="2"/>
    </row>
    <row r="24" spans="1:9" s="1" customFormat="1" x14ac:dyDescent="0.25">
      <c r="A24" s="7" t="s">
        <v>50</v>
      </c>
      <c r="C24" s="19"/>
      <c r="D24" s="28"/>
      <c r="E24" s="15"/>
      <c r="F24" s="26"/>
      <c r="G24" s="4"/>
      <c r="H24" s="21"/>
      <c r="I24" s="4"/>
    </row>
    <row r="25" spans="1:9" ht="15.75" thickBot="1" x14ac:dyDescent="0.3">
      <c r="A25" s="3" t="e">
        <f ca="1">_xll.OneStop.ReportPlayer.OSRFunctions.OSRGet("Journal_Account","AccountNo")</f>
        <v>#NAME?</v>
      </c>
      <c r="B25" t="e">
        <f ca="1">_xll.OneStop.ReportPlayer.OSRFunctions.OSRGet("Journal_Account","AccountName")</f>
        <v>#NAME?</v>
      </c>
      <c r="C25" s="10" t="e">
        <f ca="1">_xll.OneStop.ReportPlayer.OSRFunctions.OSRGet("Journal_SubEntry","AmtCur")</f>
        <v>#NAME?</v>
      </c>
      <c r="D25" s="9" t="e">
        <f ca="1">_xll.OneStop.ReportPlayer.OSRFunctions.OSRGet("Journal_SubEntry","AmtCur")</f>
        <v>#NAME?</v>
      </c>
      <c r="E25" s="5" t="e">
        <f ca="1">_xll.OneStop.ReportPlayer.OSRFunctions.OSRGet("Journal_SubEntry","AmtCur")</f>
        <v>#NAME?</v>
      </c>
      <c r="F25" s="11" t="e">
        <f ca="1">_xll.OneStop.ReportPlayer.OSRFunctions.OSRGet("Journal_SubEntry","AmtCur")</f>
        <v>#NAME?</v>
      </c>
      <c r="G25" s="2" t="e">
        <f t="shared" ref="G25:G26" ca="1" si="7">E25-F25</f>
        <v>#NAME?</v>
      </c>
      <c r="H25" s="8" t="e">
        <f ca="1">_xll.OneStop.ReportPlayer.OSRFunctions.OSRGet("FactBudgetTrans","Budget Amount")</f>
        <v>#NAME?</v>
      </c>
      <c r="I25" s="2" t="e">
        <f t="shared" ref="I25:I26" ca="1" si="8">E25-H25</f>
        <v>#NAME?</v>
      </c>
    </row>
    <row r="26" spans="1:9" x14ac:dyDescent="0.25">
      <c r="A26" s="55" t="s">
        <v>85</v>
      </c>
      <c r="B26" s="59"/>
      <c r="C26" s="111" t="e">
        <f ca="1">SUM(_xll.OneStop.ReportPlayer.OSRFunctions.OSRRef(C25))</f>
        <v>#NAME?</v>
      </c>
      <c r="D26" s="106" t="e">
        <f ca="1">SUM(_xll.OneStop.ReportPlayer.OSRFunctions.OSRRef(D25))</f>
        <v>#NAME?</v>
      </c>
      <c r="E26" s="105" t="e">
        <f ca="1">SUM(_xll.OneStop.ReportPlayer.OSRFunctions.OSRRef(E25))</f>
        <v>#NAME?</v>
      </c>
      <c r="F26" s="132" t="e">
        <f ca="1">SUM(_xll.OneStop.ReportPlayer.OSRFunctions.OSRRef(F25))</f>
        <v>#NAME?</v>
      </c>
      <c r="G26" s="65" t="e">
        <f t="shared" ca="1" si="7"/>
        <v>#NAME?</v>
      </c>
      <c r="H26" s="120" t="e">
        <f ca="1">SUM(_xll.OneStop.ReportPlayer.OSRFunctions.OSRRef(H25))</f>
        <v>#NAME?</v>
      </c>
      <c r="I26" s="65" t="e">
        <f t="shared" ca="1" si="8"/>
        <v>#NAME?</v>
      </c>
    </row>
    <row r="27" spans="1:9" x14ac:dyDescent="0.25">
      <c r="A27" s="3"/>
      <c r="C27" s="10"/>
      <c r="D27" s="9"/>
      <c r="E27" s="5"/>
      <c r="F27" s="11"/>
      <c r="G27" s="2"/>
      <c r="H27" s="8"/>
      <c r="I27" s="2"/>
    </row>
    <row r="28" spans="1:9" s="1" customFormat="1" ht="15.75" thickBot="1" x14ac:dyDescent="0.3">
      <c r="A28" s="54" t="s">
        <v>144</v>
      </c>
      <c r="B28" s="57"/>
      <c r="C28" s="143" t="e">
        <f t="shared" ref="C28:F28" ca="1" si="9">C22-C26</f>
        <v>#NAME?</v>
      </c>
      <c r="D28" s="162" t="e">
        <f t="shared" ca="1" si="9"/>
        <v>#NAME?</v>
      </c>
      <c r="E28" s="121" t="e">
        <f t="shared" ca="1" si="9"/>
        <v>#NAME?</v>
      </c>
      <c r="F28" s="175" t="e">
        <f t="shared" ca="1" si="9"/>
        <v>#NAME?</v>
      </c>
      <c r="G28" s="100" t="e">
        <f ca="1">E28-F28</f>
        <v>#NAME?</v>
      </c>
      <c r="H28" s="165" t="e">
        <f ca="1">H22-H26</f>
        <v>#NAME?</v>
      </c>
      <c r="I28" s="100" t="e">
        <f ca="1">E28-H28</f>
        <v>#NAME?</v>
      </c>
    </row>
    <row r="29" spans="1:9" ht="15.75" thickTop="1" x14ac:dyDescent="0.25"/>
    <row r="154" spans="1:2" hidden="1" x14ac:dyDescent="0.25"/>
    <row r="155" spans="1:2" hidden="1" x14ac:dyDescent="0.25">
      <c r="B155" t="e">
        <f ca="1">VLOOKUP(RIGHT(_xll.OneStop.ReportPlayer.OSRFunctions.OSRGet("Period","PeriodId"),2),MANED3,2,FALSE)&amp;" - "</f>
        <v>#NAME?</v>
      </c>
    </row>
    <row r="156" spans="1:2" hidden="1" x14ac:dyDescent="0.25">
      <c r="B156" t="e">
        <f ca="1">VLOOKUP(RIGHT(_xll.OneStop.ReportPlayer.OSRFunctions.OSRGet("Period","PeriodId"),2),MANED3,2,FALSE)&amp;"  "&amp;LEFT(_xll.OneStop.ReportPlayer.OSRFunctions.OSRGet("Period","PeriodId"),4)</f>
        <v>#NAME?</v>
      </c>
    </row>
    <row r="157" spans="1:2" hidden="1" x14ac:dyDescent="0.25"/>
    <row r="158" spans="1:2" hidden="1" x14ac:dyDescent="0.25"/>
    <row r="159" spans="1:2" hidden="1" x14ac:dyDescent="0.25"/>
    <row r="160" spans="1:2" hidden="1" x14ac:dyDescent="0.25">
      <c r="A160" s="47" t="s">
        <v>65</v>
      </c>
      <c r="B160" s="43" t="s">
        <v>184</v>
      </c>
    </row>
    <row r="161" spans="1:2" hidden="1" x14ac:dyDescent="0.25">
      <c r="A161" s="47" t="s">
        <v>130</v>
      </c>
      <c r="B161" s="43" t="s">
        <v>1</v>
      </c>
    </row>
    <row r="162" spans="1:2" hidden="1" x14ac:dyDescent="0.25">
      <c r="A162" s="47" t="s">
        <v>185</v>
      </c>
      <c r="B162" s="43" t="s">
        <v>66</v>
      </c>
    </row>
    <row r="163" spans="1:2" hidden="1" x14ac:dyDescent="0.25">
      <c r="A163" s="47" t="s">
        <v>2</v>
      </c>
      <c r="B163" s="43" t="s">
        <v>21</v>
      </c>
    </row>
    <row r="164" spans="1:2" hidden="1" x14ac:dyDescent="0.25">
      <c r="A164" s="47" t="s">
        <v>67</v>
      </c>
      <c r="B164" s="43" t="s">
        <v>166</v>
      </c>
    </row>
    <row r="165" spans="1:2" hidden="1" x14ac:dyDescent="0.25">
      <c r="A165" s="47" t="s">
        <v>131</v>
      </c>
      <c r="B165" s="43" t="s">
        <v>217</v>
      </c>
    </row>
    <row r="166" spans="1:2" hidden="1" x14ac:dyDescent="0.25">
      <c r="A166" s="47" t="s">
        <v>186</v>
      </c>
      <c r="B166" s="43" t="s">
        <v>101</v>
      </c>
    </row>
    <row r="167" spans="1:2" hidden="1" x14ac:dyDescent="0.25">
      <c r="A167" s="47" t="s">
        <v>3</v>
      </c>
      <c r="B167" s="43" t="s">
        <v>102</v>
      </c>
    </row>
    <row r="168" spans="1:2" hidden="1" x14ac:dyDescent="0.25">
      <c r="A168" s="47" t="s">
        <v>68</v>
      </c>
      <c r="B168" s="43" t="s">
        <v>86</v>
      </c>
    </row>
    <row r="169" spans="1:2" hidden="1" x14ac:dyDescent="0.25">
      <c r="A169" s="47" t="s">
        <v>187</v>
      </c>
      <c r="B169" s="43" t="s">
        <v>167</v>
      </c>
    </row>
    <row r="170" spans="1:2" hidden="1" x14ac:dyDescent="0.25">
      <c r="A170" s="47" t="s">
        <v>4</v>
      </c>
      <c r="B170" s="43" t="s">
        <v>5</v>
      </c>
    </row>
    <row r="171" spans="1:2" hidden="1" x14ac:dyDescent="0.25">
      <c r="A171" s="47" t="s">
        <v>69</v>
      </c>
      <c r="B171" s="43" t="s">
        <v>103</v>
      </c>
    </row>
    <row r="172" spans="1:2" hidden="1" x14ac:dyDescent="0.2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16</vt:i4>
      </vt:variant>
    </vt:vector>
  </HeadingPairs>
  <TitlesOfParts>
    <vt:vector size="25" baseType="lpstr">
      <vt:lpstr>Resultat</vt:lpstr>
      <vt:lpstr>OSR_Resultat_...3a21ba33_HEX3NS</vt:lpstr>
      <vt:lpstr>Balanse</vt:lpstr>
      <vt:lpstr>OSR_Balanse_d...b8468579_F2RXWS</vt:lpstr>
      <vt:lpstr>Alpint</vt:lpstr>
      <vt:lpstr>Hovedlaget</vt:lpstr>
      <vt:lpstr>Langrenn</vt:lpstr>
      <vt:lpstr>Skiskyting</vt:lpstr>
      <vt:lpstr>OSR_Avdeling_...2e9dfb58_HRAJLI</vt:lpstr>
      <vt:lpstr>OSR_Resultat_...3a21ba33_HEX3NS!MANED2</vt:lpstr>
      <vt:lpstr>Resultat!MANED2</vt:lpstr>
      <vt:lpstr>Alpint!MANED3</vt:lpstr>
      <vt:lpstr>Hovedlaget!MANED3</vt:lpstr>
      <vt:lpstr>Langrenn!MANED3</vt:lpstr>
      <vt:lpstr>OSR_Avdeling_...2e9dfb58_HRAJLI!MANED3</vt:lpstr>
      <vt:lpstr>Skiskyting!MANED3</vt:lpstr>
      <vt:lpstr>Balanse!MANED4</vt:lpstr>
      <vt:lpstr>OSR_Balanse_d...b8468579_F2RXWS!MANED4</vt:lpstr>
      <vt:lpstr>Alpint!Utskriftstitler</vt:lpstr>
      <vt:lpstr>Hovedlaget!Utskriftstitler</vt:lpstr>
      <vt:lpstr>Langrenn!Utskriftstitler</vt:lpstr>
      <vt:lpstr>OSR_Avdeling_...2e9dfb58_HRAJLI!Utskriftstitler</vt:lpstr>
      <vt:lpstr>OSR_Resultat_...3a21ba33_HEX3NS!Utskriftstitler</vt:lpstr>
      <vt:lpstr>Resultat!Utskriftstitler</vt:lpstr>
      <vt:lpstr>Skiskyting!Utskriftstitler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Ingvaldsen</dc:creator>
  <cp:lastModifiedBy>Brita Nielsen</cp:lastModifiedBy>
  <dcterms:created xsi:type="dcterms:W3CDTF">2017-06-01T12:49:33Z</dcterms:created>
  <dcterms:modified xsi:type="dcterms:W3CDTF">2026-04-21T08:16:15Z</dcterms:modified>
</cp:coreProperties>
</file>