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istein_lunde_gymogturn_no/Documents/Dokumenter/Gjøvik Skiklubb/"/>
    </mc:Choice>
  </mc:AlternateContent>
  <xr:revisionPtr revIDLastSave="0" documentId="8_{502C0EF9-201C-46A7-A999-3F38CF4F24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ltat" sheetId="1" r:id="rId1"/>
    <sheet name="OSR_Resultat_...3a21ba33_HEX3NS" sheetId="2" state="hidden" r:id="rId2"/>
    <sheet name="Balanse" sheetId="3" r:id="rId3"/>
    <sheet name="OSR_Balanse_d...b8468579_F2RXWS" sheetId="4" state="hidden" r:id="rId4"/>
    <sheet name="Alpint" sheetId="5" r:id="rId5"/>
    <sheet name="Hovedlaget" sheetId="6" r:id="rId6"/>
    <sheet name="Langrenn" sheetId="7" r:id="rId7"/>
    <sheet name="Skiskyting" sheetId="8" r:id="rId8"/>
    <sheet name="OSR_Avdeling_...2e9dfb58_HRAJLI" sheetId="10" state="hidden" r:id="rId9"/>
  </sheets>
  <definedNames>
    <definedName name="MANED2" localSheetId="4">#REF!</definedName>
    <definedName name="MANED2" localSheetId="2">#REF!</definedName>
    <definedName name="MANED2" localSheetId="5">#REF!</definedName>
    <definedName name="MANED2" localSheetId="6">#REF!</definedName>
    <definedName name="MANED2" localSheetId="8">#REF!</definedName>
    <definedName name="MANED2" localSheetId="3">#REF!</definedName>
    <definedName name="MANED2" localSheetId="1">'OSR_Resultat_...3a21ba33_HEX3NS'!$A$160:$B$171</definedName>
    <definedName name="MANED2" localSheetId="0">Resultat!$A$261:$B$272</definedName>
    <definedName name="MANED2" localSheetId="7">#REF!</definedName>
    <definedName name="MANED2">#REF!</definedName>
    <definedName name="MANED3" localSheetId="4">Alpint!$A$223:$B$234</definedName>
    <definedName name="MANED3" localSheetId="2">#REF!</definedName>
    <definedName name="MANED3" localSheetId="5">Hovedlaget!$A$187:$B$198</definedName>
    <definedName name="MANED3" localSheetId="6">Langrenn!$A$207:$B$218</definedName>
    <definedName name="MANED3" localSheetId="8">'OSR_Avdeling_...2e9dfb58_HRAJLI'!$A$160:$B$171</definedName>
    <definedName name="MANED3" localSheetId="3">#REF!</definedName>
    <definedName name="MANED3" localSheetId="1">#REF!</definedName>
    <definedName name="MANED3" localSheetId="0">#REF!</definedName>
    <definedName name="MANED3" localSheetId="7">Skiskyting!$A$157:$B$168</definedName>
    <definedName name="MANED3">#REF!</definedName>
    <definedName name="MANED4" localSheetId="4">#REF!</definedName>
    <definedName name="MANED4" localSheetId="2">Balanse!$A$232:$B$243</definedName>
    <definedName name="MANED4" localSheetId="5">#REF!</definedName>
    <definedName name="MANED4" localSheetId="6">#REF!</definedName>
    <definedName name="MANED4" localSheetId="8">#REF!</definedName>
    <definedName name="MANED4" localSheetId="3">'OSR_Balanse_d...b8468579_F2RXWS'!$A$159:$B$170</definedName>
    <definedName name="MANED4" localSheetId="1">#REF!</definedName>
    <definedName name="MANED4" localSheetId="0">#REF!</definedName>
    <definedName name="MANED4" localSheetId="7">#REF!</definedName>
    <definedName name="MANED4">#REF!</definedName>
    <definedName name="MANED5" localSheetId="4">#REF!</definedName>
    <definedName name="MANED5" localSheetId="2">#REF!</definedName>
    <definedName name="MANED5" localSheetId="5">#REF!</definedName>
    <definedName name="MANED5" localSheetId="6">#REF!</definedName>
    <definedName name="MANED5" localSheetId="8">#REF!</definedName>
    <definedName name="MANED5" localSheetId="3">#REF!</definedName>
    <definedName name="MANED5" localSheetId="1">#REF!</definedName>
    <definedName name="MANED5" localSheetId="0">#REF!</definedName>
    <definedName name="MANED5" localSheetId="7">#REF!</definedName>
    <definedName name="MANED5">#REF!</definedName>
    <definedName name="_xlnm.Print_Titles" localSheetId="4">Alpint!$7:$8</definedName>
    <definedName name="_xlnm.Print_Titles" localSheetId="5">Hovedlaget!$7:$8</definedName>
    <definedName name="_xlnm.Print_Titles" localSheetId="6">Langrenn!$7:$8</definedName>
    <definedName name="_xlnm.Print_Titles" localSheetId="8">'OSR_Avdeling_...2e9dfb58_HRAJLI'!$7:$8</definedName>
    <definedName name="_xlnm.Print_Titles" localSheetId="1">'OSR_Resultat_...3a21ba33_HEX3NS'!$7:$8</definedName>
    <definedName name="_xlnm.Print_Titles" localSheetId="0">Resultat!$7:$8</definedName>
    <definedName name="_xlnm.Print_Titles" localSheetId="7">Skiskyting!$7:$8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0" l="1"/>
  <c r="B153" i="8"/>
  <c r="B152" i="8"/>
  <c r="F23" i="8"/>
  <c r="E23" i="8"/>
  <c r="D23" i="8"/>
  <c r="C23" i="8"/>
  <c r="F18" i="8"/>
  <c r="E18" i="8"/>
  <c r="D18" i="8"/>
  <c r="C18" i="8"/>
  <c r="F14" i="8"/>
  <c r="E14" i="8"/>
  <c r="D14" i="8"/>
  <c r="C14" i="8"/>
  <c r="F10" i="8"/>
  <c r="F20" i="8" s="1"/>
  <c r="F25" i="8" s="1"/>
  <c r="E10" i="8"/>
  <c r="D10" i="8"/>
  <c r="D20" i="8" s="1"/>
  <c r="D25" i="8" s="1"/>
  <c r="C10" i="8"/>
  <c r="C20" i="8" s="1"/>
  <c r="C25" i="8" s="1"/>
  <c r="C4" i="8"/>
  <c r="B203" i="7"/>
  <c r="B202" i="7"/>
  <c r="F73" i="7"/>
  <c r="E73" i="7"/>
  <c r="D73" i="7"/>
  <c r="C73" i="7"/>
  <c r="F68" i="7"/>
  <c r="E68" i="7"/>
  <c r="D68" i="7"/>
  <c r="C68" i="7"/>
  <c r="F63" i="7"/>
  <c r="E63" i="7"/>
  <c r="D63" i="7"/>
  <c r="C63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10" i="7"/>
  <c r="F26" i="7" s="1"/>
  <c r="F70" i="7" s="1"/>
  <c r="F75" i="7" s="1"/>
  <c r="E10" i="7"/>
  <c r="D10" i="7"/>
  <c r="D26" i="7" s="1"/>
  <c r="D70" i="7" s="1"/>
  <c r="D75" i="7" s="1"/>
  <c r="C10" i="7"/>
  <c r="C26" i="7" s="1"/>
  <c r="C70" i="7" s="1"/>
  <c r="C75" i="7" s="1"/>
  <c r="C4" i="7"/>
  <c r="B183" i="6"/>
  <c r="B182" i="6"/>
  <c r="F53" i="6"/>
  <c r="E53" i="6"/>
  <c r="D53" i="6"/>
  <c r="C53" i="6"/>
  <c r="F47" i="6"/>
  <c r="E47" i="6"/>
  <c r="D47" i="6"/>
  <c r="C47" i="6"/>
  <c r="F40" i="6"/>
  <c r="E40" i="6"/>
  <c r="D40" i="6"/>
  <c r="C40" i="6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F20" i="6" s="1"/>
  <c r="F49" i="6" s="1"/>
  <c r="F55" i="6" s="1"/>
  <c r="E10" i="6"/>
  <c r="D10" i="6"/>
  <c r="D20" i="6" s="1"/>
  <c r="D49" i="6" s="1"/>
  <c r="D55" i="6" s="1"/>
  <c r="C10" i="6"/>
  <c r="C20" i="6" s="1"/>
  <c r="C49" i="6" s="1"/>
  <c r="C55" i="6" s="1"/>
  <c r="C4" i="6"/>
  <c r="B219" i="5"/>
  <c r="B218" i="5"/>
  <c r="F89" i="5"/>
  <c r="E89" i="5"/>
  <c r="D89" i="5"/>
  <c r="C89" i="5"/>
  <c r="F84" i="5"/>
  <c r="E84" i="5"/>
  <c r="D84" i="5"/>
  <c r="C84" i="5"/>
  <c r="F76" i="5"/>
  <c r="E76" i="5"/>
  <c r="D76" i="5"/>
  <c r="C76" i="5"/>
  <c r="F27" i="5"/>
  <c r="E27" i="5"/>
  <c r="D27" i="5"/>
  <c r="C27" i="5"/>
  <c r="F26" i="5"/>
  <c r="E26" i="5"/>
  <c r="D26" i="5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F28" i="5" s="1"/>
  <c r="F86" i="5" s="1"/>
  <c r="F91" i="5" s="1"/>
  <c r="E10" i="5"/>
  <c r="D10" i="5"/>
  <c r="D28" i="5" s="1"/>
  <c r="D86" i="5" s="1"/>
  <c r="D91" i="5" s="1"/>
  <c r="C10" i="5"/>
  <c r="C28" i="5" s="1"/>
  <c r="C86" i="5" s="1"/>
  <c r="C91" i="5" s="1"/>
  <c r="C4" i="5"/>
  <c r="K4" i="4"/>
  <c r="B228" i="3"/>
  <c r="B227" i="3"/>
  <c r="C89" i="3"/>
  <c r="H88" i="3"/>
  <c r="E88" i="3"/>
  <c r="I88" i="3" s="1"/>
  <c r="H87" i="3"/>
  <c r="E87" i="3"/>
  <c r="I87" i="3" s="1"/>
  <c r="H86" i="3"/>
  <c r="E86" i="3"/>
  <c r="I86" i="3" s="1"/>
  <c r="H85" i="3"/>
  <c r="E85" i="3"/>
  <c r="I85" i="3" s="1"/>
  <c r="H84" i="3"/>
  <c r="E84" i="3"/>
  <c r="I84" i="3" s="1"/>
  <c r="H83" i="3"/>
  <c r="E83" i="3"/>
  <c r="I83" i="3" s="1"/>
  <c r="H82" i="3"/>
  <c r="E82" i="3"/>
  <c r="I82" i="3" s="1"/>
  <c r="H81" i="3"/>
  <c r="E81" i="3"/>
  <c r="I81" i="3" s="1"/>
  <c r="H80" i="3"/>
  <c r="E80" i="3"/>
  <c r="I80" i="3" s="1"/>
  <c r="H79" i="3"/>
  <c r="E79" i="3"/>
  <c r="I79" i="3" s="1"/>
  <c r="H78" i="3"/>
  <c r="E78" i="3"/>
  <c r="I78" i="3" s="1"/>
  <c r="H77" i="3"/>
  <c r="E77" i="3"/>
  <c r="I77" i="3" s="1"/>
  <c r="H76" i="3"/>
  <c r="E76" i="3"/>
  <c r="I76" i="3" s="1"/>
  <c r="H75" i="3"/>
  <c r="E75" i="3"/>
  <c r="I75" i="3" s="1"/>
  <c r="H74" i="3"/>
  <c r="E74" i="3"/>
  <c r="I74" i="3" s="1"/>
  <c r="H73" i="3"/>
  <c r="E73" i="3"/>
  <c r="I73" i="3" s="1"/>
  <c r="H72" i="3"/>
  <c r="E72" i="3"/>
  <c r="I72" i="3" s="1"/>
  <c r="H71" i="3"/>
  <c r="E71" i="3"/>
  <c r="I71" i="3" s="1"/>
  <c r="H70" i="3"/>
  <c r="E70" i="3"/>
  <c r="I70" i="3" s="1"/>
  <c r="H69" i="3"/>
  <c r="E69" i="3"/>
  <c r="I69" i="3" s="1"/>
  <c r="H68" i="3"/>
  <c r="E68" i="3"/>
  <c r="I68" i="3" s="1"/>
  <c r="H67" i="3"/>
  <c r="E67" i="3"/>
  <c r="I67" i="3" s="1"/>
  <c r="H66" i="3"/>
  <c r="E66" i="3"/>
  <c r="I66" i="3" s="1"/>
  <c r="H65" i="3"/>
  <c r="E65" i="3"/>
  <c r="I65" i="3" s="1"/>
  <c r="H64" i="3"/>
  <c r="E64" i="3"/>
  <c r="I64" i="3" s="1"/>
  <c r="H63" i="3"/>
  <c r="E63" i="3"/>
  <c r="I63" i="3" s="1"/>
  <c r="H62" i="3"/>
  <c r="E62" i="3"/>
  <c r="I62" i="3" s="1"/>
  <c r="H61" i="3"/>
  <c r="E61" i="3"/>
  <c r="I61" i="3" s="1"/>
  <c r="H60" i="3"/>
  <c r="E60" i="3"/>
  <c r="I60" i="3" s="1"/>
  <c r="H59" i="3"/>
  <c r="E59" i="3"/>
  <c r="I59" i="3" s="1"/>
  <c r="H58" i="3"/>
  <c r="E58" i="3"/>
  <c r="I58" i="3" s="1"/>
  <c r="H57" i="3"/>
  <c r="E57" i="3"/>
  <c r="I57" i="3" s="1"/>
  <c r="H56" i="3"/>
  <c r="E56" i="3"/>
  <c r="I56" i="3" s="1"/>
  <c r="H55" i="3"/>
  <c r="E55" i="3"/>
  <c r="I55" i="3" s="1"/>
  <c r="H54" i="3"/>
  <c r="E54" i="3"/>
  <c r="I54" i="3" s="1"/>
  <c r="H53" i="3"/>
  <c r="H89" i="3" s="1"/>
  <c r="E53" i="3"/>
  <c r="C50" i="3"/>
  <c r="H49" i="3"/>
  <c r="E49" i="3"/>
  <c r="I49" i="3" s="1"/>
  <c r="H48" i="3"/>
  <c r="E48" i="3"/>
  <c r="I48" i="3" s="1"/>
  <c r="H47" i="3"/>
  <c r="E47" i="3"/>
  <c r="I47" i="3" s="1"/>
  <c r="H46" i="3"/>
  <c r="E46" i="3"/>
  <c r="I46" i="3" s="1"/>
  <c r="H45" i="3"/>
  <c r="E45" i="3"/>
  <c r="I45" i="3" s="1"/>
  <c r="H44" i="3"/>
  <c r="E44" i="3"/>
  <c r="I44" i="3" s="1"/>
  <c r="H43" i="3"/>
  <c r="E43" i="3"/>
  <c r="I43" i="3" s="1"/>
  <c r="H42" i="3"/>
  <c r="E42" i="3"/>
  <c r="I42" i="3" s="1"/>
  <c r="H41" i="3"/>
  <c r="E41" i="3"/>
  <c r="I41" i="3" s="1"/>
  <c r="H40" i="3"/>
  <c r="E40" i="3"/>
  <c r="I40" i="3" s="1"/>
  <c r="H39" i="3"/>
  <c r="E39" i="3"/>
  <c r="I39" i="3" s="1"/>
  <c r="H38" i="3"/>
  <c r="E38" i="3"/>
  <c r="I38" i="3" s="1"/>
  <c r="H37" i="3"/>
  <c r="E37" i="3"/>
  <c r="I37" i="3" s="1"/>
  <c r="H36" i="3"/>
  <c r="E36" i="3"/>
  <c r="I36" i="3" s="1"/>
  <c r="H35" i="3"/>
  <c r="E35" i="3"/>
  <c r="I35" i="3" s="1"/>
  <c r="H34" i="3"/>
  <c r="E34" i="3"/>
  <c r="I34" i="3" s="1"/>
  <c r="H33" i="3"/>
  <c r="E33" i="3"/>
  <c r="I33" i="3" s="1"/>
  <c r="H32" i="3"/>
  <c r="E32" i="3"/>
  <c r="I32" i="3" s="1"/>
  <c r="H31" i="3"/>
  <c r="E31" i="3"/>
  <c r="I31" i="3" s="1"/>
  <c r="H30" i="3"/>
  <c r="E30" i="3"/>
  <c r="I30" i="3" s="1"/>
  <c r="H29" i="3"/>
  <c r="E29" i="3"/>
  <c r="I29" i="3" s="1"/>
  <c r="H28" i="3"/>
  <c r="E28" i="3"/>
  <c r="I28" i="3" s="1"/>
  <c r="H27" i="3"/>
  <c r="E27" i="3"/>
  <c r="I27" i="3" s="1"/>
  <c r="H26" i="3"/>
  <c r="E26" i="3"/>
  <c r="I26" i="3" s="1"/>
  <c r="H25" i="3"/>
  <c r="E25" i="3"/>
  <c r="I25" i="3" s="1"/>
  <c r="H24" i="3"/>
  <c r="E24" i="3"/>
  <c r="I24" i="3" s="1"/>
  <c r="H23" i="3"/>
  <c r="E23" i="3"/>
  <c r="I23" i="3" s="1"/>
  <c r="H22" i="3"/>
  <c r="E22" i="3"/>
  <c r="I22" i="3" s="1"/>
  <c r="H21" i="3"/>
  <c r="E21" i="3"/>
  <c r="I21" i="3" s="1"/>
  <c r="H20" i="3"/>
  <c r="E20" i="3"/>
  <c r="I20" i="3" s="1"/>
  <c r="H19" i="3"/>
  <c r="E19" i="3"/>
  <c r="I19" i="3" s="1"/>
  <c r="H18" i="3"/>
  <c r="E18" i="3"/>
  <c r="I18" i="3" s="1"/>
  <c r="H17" i="3"/>
  <c r="E17" i="3"/>
  <c r="I17" i="3" s="1"/>
  <c r="H16" i="3"/>
  <c r="E16" i="3"/>
  <c r="I16" i="3" s="1"/>
  <c r="H15" i="3"/>
  <c r="E15" i="3"/>
  <c r="I15" i="3" s="1"/>
  <c r="H14" i="3"/>
  <c r="E14" i="3"/>
  <c r="I14" i="3" s="1"/>
  <c r="H13" i="3"/>
  <c r="E13" i="3"/>
  <c r="I13" i="3" s="1"/>
  <c r="H12" i="3"/>
  <c r="E12" i="3"/>
  <c r="I12" i="3" s="1"/>
  <c r="H11" i="3"/>
  <c r="E11" i="3"/>
  <c r="I11" i="3" s="1"/>
  <c r="H10" i="3"/>
  <c r="H50" i="3" s="1"/>
  <c r="E10" i="3"/>
  <c r="C4" i="3"/>
  <c r="I4" i="2"/>
  <c r="B257" i="1"/>
  <c r="B256" i="1"/>
  <c r="F127" i="1"/>
  <c r="E127" i="1"/>
  <c r="D127" i="1"/>
  <c r="C127" i="1"/>
  <c r="F122" i="1"/>
  <c r="E122" i="1"/>
  <c r="D122" i="1"/>
  <c r="C122" i="1"/>
  <c r="F112" i="1"/>
  <c r="E112" i="1"/>
  <c r="D112" i="1"/>
  <c r="C112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F40" i="1" s="1"/>
  <c r="F124" i="1" s="1"/>
  <c r="F129" i="1" s="1"/>
  <c r="E10" i="1"/>
  <c r="D10" i="1"/>
  <c r="D40" i="1" s="1"/>
  <c r="D124" i="1" s="1"/>
  <c r="D129" i="1" s="1"/>
  <c r="C10" i="1"/>
  <c r="C40" i="1" s="1"/>
  <c r="C124" i="1" s="1"/>
  <c r="C129" i="1" s="1"/>
  <c r="C4" i="1"/>
  <c r="B156" i="10"/>
  <c r="B155" i="10"/>
  <c r="E25" i="10"/>
  <c r="D20" i="10"/>
  <c r="A19" i="10"/>
  <c r="H15" i="10"/>
  <c r="D14" i="10"/>
  <c r="C11" i="10"/>
  <c r="B5" i="10"/>
  <c r="E16" i="4"/>
  <c r="B14" i="4"/>
  <c r="C10" i="4"/>
  <c r="D26" i="2"/>
  <c r="A25" i="2"/>
  <c r="E19" i="2"/>
  <c r="H26" i="10"/>
  <c r="D25" i="10"/>
  <c r="C20" i="10"/>
  <c r="H18" i="10"/>
  <c r="F15" i="10"/>
  <c r="C14" i="10"/>
  <c r="H10" i="10"/>
  <c r="A5" i="10"/>
  <c r="C16" i="4"/>
  <c r="A14" i="4"/>
  <c r="B10" i="4"/>
  <c r="C26" i="2"/>
  <c r="H20" i="2"/>
  <c r="D19" i="2"/>
  <c r="C18" i="2"/>
  <c r="H14" i="2"/>
  <c r="F11" i="2"/>
  <c r="C10" i="2"/>
  <c r="B10" i="2"/>
  <c r="B25" i="10"/>
  <c r="E18" i="10"/>
  <c r="A14" i="10"/>
  <c r="F26" i="10"/>
  <c r="C25" i="10"/>
  <c r="H19" i="10"/>
  <c r="F18" i="10"/>
  <c r="E15" i="10"/>
  <c r="B14" i="10"/>
  <c r="F10" i="10"/>
  <c r="G15" i="4"/>
  <c r="H11" i="4"/>
  <c r="A10" i="4"/>
  <c r="H25" i="2"/>
  <c r="F20" i="2"/>
  <c r="C19" i="2"/>
  <c r="B18" i="2"/>
  <c r="F14" i="2"/>
  <c r="E11" i="2"/>
  <c r="F19" i="10"/>
  <c r="D15" i="10"/>
  <c r="E10" i="10"/>
  <c r="D15" i="4"/>
  <c r="E11" i="4"/>
  <c r="B156" i="2"/>
  <c r="F25" i="2"/>
  <c r="E20" i="2"/>
  <c r="B19" i="2"/>
  <c r="A18" i="2"/>
  <c r="E14" i="2"/>
  <c r="D11" i="2"/>
  <c r="A10" i="2"/>
  <c r="A25" i="10"/>
  <c r="E19" i="10"/>
  <c r="D18" i="10"/>
  <c r="C15" i="10"/>
  <c r="H11" i="10"/>
  <c r="D10" i="10"/>
  <c r="A3" i="10"/>
  <c r="G14" i="4"/>
  <c r="C11" i="4"/>
  <c r="E26" i="10"/>
  <c r="D26" i="10"/>
  <c r="B155" i="2"/>
  <c r="E25" i="2"/>
  <c r="D20" i="2"/>
  <c r="A19" i="2"/>
  <c r="H15" i="2"/>
  <c r="D14" i="2"/>
  <c r="C11" i="2"/>
  <c r="A3" i="2"/>
  <c r="E20" i="10"/>
  <c r="E14" i="10"/>
  <c r="H16" i="4"/>
  <c r="D10" i="4"/>
  <c r="E26" i="2"/>
  <c r="F19" i="2"/>
  <c r="A14" i="2"/>
  <c r="D18" i="2"/>
  <c r="H11" i="2"/>
  <c r="C26" i="10"/>
  <c r="H20" i="10"/>
  <c r="D19" i="10"/>
  <c r="C18" i="10"/>
  <c r="H14" i="10"/>
  <c r="F11" i="10"/>
  <c r="C10" i="10"/>
  <c r="B155" i="4"/>
  <c r="F14" i="4"/>
  <c r="G10" i="4"/>
  <c r="A3" i="4"/>
  <c r="H26" i="2"/>
  <c r="D25" i="2"/>
  <c r="C20" i="2"/>
  <c r="H18" i="2"/>
  <c r="F15" i="2"/>
  <c r="C14" i="2"/>
  <c r="H10" i="2"/>
  <c r="H25" i="10"/>
  <c r="F20" i="10"/>
  <c r="C19" i="10"/>
  <c r="B18" i="10"/>
  <c r="F14" i="10"/>
  <c r="E11" i="10"/>
  <c r="B10" i="10"/>
  <c r="B154" i="4"/>
  <c r="D14" i="4"/>
  <c r="F10" i="4"/>
  <c r="F26" i="2"/>
  <c r="C25" i="2"/>
  <c r="H19" i="2"/>
  <c r="F18" i="2"/>
  <c r="E15" i="2"/>
  <c r="B14" i="2"/>
  <c r="F10" i="2"/>
  <c r="F25" i="10"/>
  <c r="B19" i="10"/>
  <c r="A18" i="10"/>
  <c r="D11" i="10"/>
  <c r="A10" i="10"/>
  <c r="C14" i="4"/>
  <c r="B25" i="2"/>
  <c r="E18" i="2"/>
  <c r="D15" i="2"/>
  <c r="E10" i="2"/>
  <c r="C15" i="2"/>
  <c r="D10" i="2"/>
  <c r="E14" i="4" l="1"/>
  <c r="I14" i="4" s="1"/>
  <c r="D22" i="10"/>
  <c r="D28" i="10" s="1"/>
  <c r="H10" i="4"/>
  <c r="H4" i="4"/>
  <c r="H14" i="4"/>
  <c r="F22" i="10"/>
  <c r="F28" i="10" s="1"/>
  <c r="H22" i="2"/>
  <c r="H28" i="2" s="1"/>
  <c r="C22" i="2"/>
  <c r="C28" i="2" s="1"/>
  <c r="F4" i="2"/>
  <c r="H22" i="10"/>
  <c r="H28" i="10" s="1"/>
  <c r="D22" i="2"/>
  <c r="D28" i="2" s="1"/>
  <c r="I11" i="4"/>
  <c r="E15" i="4"/>
  <c r="H15" i="4"/>
  <c r="F22" i="2"/>
  <c r="F28" i="2" s="1"/>
  <c r="E10" i="4"/>
  <c r="I16" i="4"/>
  <c r="C22" i="10"/>
  <c r="C28" i="10" s="1"/>
  <c r="F4" i="10"/>
  <c r="E40" i="1"/>
  <c r="I10" i="2"/>
  <c r="G10" i="2"/>
  <c r="E22" i="2"/>
  <c r="I11" i="2"/>
  <c r="G11" i="2"/>
  <c r="I14" i="2"/>
  <c r="G14" i="2"/>
  <c r="I15" i="2"/>
  <c r="G15" i="2"/>
  <c r="I18" i="2"/>
  <c r="G18" i="2"/>
  <c r="I19" i="2"/>
  <c r="G19" i="2"/>
  <c r="I20" i="2"/>
  <c r="G20" i="2"/>
  <c r="I25" i="2"/>
  <c r="G25" i="2"/>
  <c r="I26" i="2"/>
  <c r="G26" i="2"/>
  <c r="E50" i="3"/>
  <c r="I50" i="3" s="1"/>
  <c r="I10" i="3"/>
  <c r="E89" i="3"/>
  <c r="I89" i="3" s="1"/>
  <c r="I53" i="3"/>
  <c r="E28" i="5"/>
  <c r="E20" i="6"/>
  <c r="E26" i="7"/>
  <c r="E20" i="8"/>
  <c r="I10" i="10"/>
  <c r="G10" i="10"/>
  <c r="E22" i="10"/>
  <c r="I11" i="10"/>
  <c r="G11" i="10"/>
  <c r="I14" i="10"/>
  <c r="G14" i="10"/>
  <c r="I15" i="10"/>
  <c r="G15" i="10"/>
  <c r="I18" i="10"/>
  <c r="G18" i="10"/>
  <c r="I19" i="10"/>
  <c r="G19" i="10"/>
  <c r="I20" i="10"/>
  <c r="G20" i="10"/>
  <c r="I25" i="10"/>
  <c r="G25" i="10"/>
  <c r="I26" i="10"/>
  <c r="G26" i="10"/>
  <c r="I10" i="4" l="1"/>
  <c r="I15" i="4"/>
  <c r="E28" i="10"/>
  <c r="I22" i="10"/>
  <c r="G22" i="10"/>
  <c r="E25" i="8"/>
  <c r="E70" i="7"/>
  <c r="E49" i="6"/>
  <c r="E86" i="5"/>
  <c r="E28" i="2"/>
  <c r="I22" i="2"/>
  <c r="G22" i="2"/>
  <c r="E124" i="1"/>
  <c r="E129" i="1" l="1"/>
  <c r="I28" i="2"/>
  <c r="G28" i="2"/>
  <c r="E91" i="5"/>
  <c r="E55" i="6"/>
  <c r="E75" i="7"/>
  <c r="I28" i="10"/>
  <c r="G28" i="10"/>
</calcChain>
</file>

<file path=xl/sharedStrings.xml><?xml version="1.0" encoding="utf-8"?>
<sst xmlns="http://schemas.openxmlformats.org/spreadsheetml/2006/main" count="781" uniqueCount="243">
  <si>
    <t>Inntekter</t>
  </si>
  <si>
    <t>Februar</t>
  </si>
  <si>
    <t>04</t>
  </si>
  <si>
    <t>08</t>
  </si>
  <si>
    <t>11</t>
  </si>
  <si>
    <t>November</t>
  </si>
  <si>
    <t>Spesielle offentlige tilskudd</t>
  </si>
  <si>
    <t>Utgifter spons og dugnad</t>
  </si>
  <si>
    <t>Strøm Hovdebakken</t>
  </si>
  <si>
    <t>Reparasjon og vedlikehold skiløyper</t>
  </si>
  <si>
    <t>Tilskudd alpint</t>
  </si>
  <si>
    <t>Rentekostnad leverandørgjeld</t>
  </si>
  <si>
    <t>Buypass</t>
  </si>
  <si>
    <t>Kontanter</t>
  </si>
  <si>
    <t>KASSEDIFFERANSE</t>
  </si>
  <si>
    <t>Annen kapital</t>
  </si>
  <si>
    <t>Oppgjørskonto merverdiavgift</t>
  </si>
  <si>
    <t>Hittil</t>
  </si>
  <si>
    <t>I år</t>
  </si>
  <si>
    <t>Finansinntekter/-kostnader</t>
  </si>
  <si>
    <t>April</t>
  </si>
  <si>
    <t>ib. Ifjor</t>
  </si>
  <si>
    <t>Utleie klubbhus avg.pl høy sats</t>
  </si>
  <si>
    <t>Grasrotandeler</t>
  </si>
  <si>
    <t>Kick Back Avtaler</t>
  </si>
  <si>
    <t>Overført fra hovedlag</t>
  </si>
  <si>
    <t>Kommunale avgifter</t>
  </si>
  <si>
    <t>Kredittkortprovisjoner</t>
  </si>
  <si>
    <t>Renter banklån</t>
  </si>
  <si>
    <t>Bankinnskudd 2050.36.98219 Skiskyting Team skistua/Team Intersport Oppdal</t>
  </si>
  <si>
    <t>Betalt forskuddstrekk</t>
  </si>
  <si>
    <t>Mellomregning skiskyting</t>
  </si>
  <si>
    <t>Diverse intern gjeld - fordeling mva T62016-T52017</t>
  </si>
  <si>
    <t>Langrenn</t>
  </si>
  <si>
    <t>Netto finans</t>
  </si>
  <si>
    <t>endring</t>
  </si>
  <si>
    <t>Aktivitetsmidler</t>
  </si>
  <si>
    <t>Medlemskontingent, avgiftsfritt utenfor avg.området</t>
  </si>
  <si>
    <t>Opph/reise renn/repr.</t>
  </si>
  <si>
    <t>Strøm langrenn</t>
  </si>
  <si>
    <t>Porto</t>
  </si>
  <si>
    <t>Tilskudd fra Gjøvik kommune, for heis</t>
  </si>
  <si>
    <t>Mellomregning Skiskytter - HL</t>
  </si>
  <si>
    <t>Interrim 1500</t>
  </si>
  <si>
    <t>Opptjent,ikke fakt. inntekt</t>
  </si>
  <si>
    <t>Bankinnskudd 2050.34.09683 Skiskyting</t>
  </si>
  <si>
    <t>Utgående merverdiavgift, lav sats</t>
  </si>
  <si>
    <t>Påløpt arb.g.avg av ferielønn</t>
  </si>
  <si>
    <t>Feriepenger sluttoppgjør</t>
  </si>
  <si>
    <t>Skatter, disponeringer mv</t>
  </si>
  <si>
    <t>SUM EIENDELER</t>
  </si>
  <si>
    <t>SUM EGENKAPITAL OG GJELD</t>
  </si>
  <si>
    <t>Avdeling:</t>
  </si>
  <si>
    <t>Gaver</t>
  </si>
  <si>
    <t>Spillmidler</t>
  </si>
  <si>
    <t>Treningsavgift, avgiftsfritt utenfor avg.området</t>
  </si>
  <si>
    <t>Diverse inntekter/støtte</t>
  </si>
  <si>
    <t>Tilskudd til aktive</t>
  </si>
  <si>
    <t>Innkjøp salgsvarer</t>
  </si>
  <si>
    <t>Andre anleggsutgifter</t>
  </si>
  <si>
    <t>Reklamekostnader</t>
  </si>
  <si>
    <t>Kontingent, fradragsberettiget</t>
  </si>
  <si>
    <t>Provisjon/transaksjonsgebyr Spond</t>
  </si>
  <si>
    <t>Skattetrekk Alpint 1503.94.73566</t>
  </si>
  <si>
    <t>Avsatte feriepenger</t>
  </si>
  <si>
    <t>Mellomregning alpint</t>
  </si>
  <si>
    <t>01</t>
  </si>
  <si>
    <t>Mars</t>
  </si>
  <si>
    <t>05</t>
  </si>
  <si>
    <t>09</t>
  </si>
  <si>
    <t>12</t>
  </si>
  <si>
    <t>Salg heiskort/utleie heis avgiftspliktig, lav sats</t>
  </si>
  <si>
    <t>Andre inntekter</t>
  </si>
  <si>
    <t>Dugnader</t>
  </si>
  <si>
    <t>Frakt, toll og spedisjon</t>
  </si>
  <si>
    <t>Emballasjematerialer</t>
  </si>
  <si>
    <t>Renovasjon</t>
  </si>
  <si>
    <t>Varige investeringer - heis</t>
  </si>
  <si>
    <t>Inventar</t>
  </si>
  <si>
    <t>Diesel</t>
  </si>
  <si>
    <t>Bank- og kortgebyr</t>
  </si>
  <si>
    <t>Diverse andre kostnader</t>
  </si>
  <si>
    <t>Kundefordring</t>
  </si>
  <si>
    <t>Fordring på langrenn</t>
  </si>
  <si>
    <t>Bankinnskudd 5555.5555</t>
  </si>
  <si>
    <t>Avsatt arbeidsgiveravgift</t>
  </si>
  <si>
    <t>Resultat etter finans</t>
  </si>
  <si>
    <t>SUM SKATTER, DISPONERINGER MV.</t>
  </si>
  <si>
    <t>September</t>
  </si>
  <si>
    <t>Rapportperiode</t>
  </si>
  <si>
    <t>endring i fjor</t>
  </si>
  <si>
    <t>Kiosksalg Hovdebakken, avgiftsfritt utenfor avg.området</t>
  </si>
  <si>
    <t>Varekostnad Sponsortrykk og skilt</t>
  </si>
  <si>
    <t>Programvare årlig vedlikehold</t>
  </si>
  <si>
    <t>Mva refusjon</t>
  </si>
  <si>
    <t>Fordring på alpint</t>
  </si>
  <si>
    <t>Bankinnskudd 2050.21.67392 L/Drift</t>
  </si>
  <si>
    <t>Bankinnskudd 1604.05.76537 A/Drift</t>
  </si>
  <si>
    <t>Bankinnskudd 1604.05.76510 A/Spar</t>
  </si>
  <si>
    <t>Trukket forskuddstrekk</t>
  </si>
  <si>
    <t>Inngående merverdiavgift, høy sats</t>
  </si>
  <si>
    <t>Forskudd fra kunder</t>
  </si>
  <si>
    <t>Periodisering årskort hovdebakken</t>
  </si>
  <si>
    <t>Juli</t>
  </si>
  <si>
    <t>August</t>
  </si>
  <si>
    <t>Desember</t>
  </si>
  <si>
    <t>Avgiftspliktig salg</t>
  </si>
  <si>
    <t>Startkontingenter</t>
  </si>
  <si>
    <t>Grunnlag MVA innførsel varer, høy sats kredit</t>
  </si>
  <si>
    <t>Utgifter egne arrangement</t>
  </si>
  <si>
    <t>Annet driftsmateriale</t>
  </si>
  <si>
    <t>Internett</t>
  </si>
  <si>
    <t>Provisjon Vipps</t>
  </si>
  <si>
    <t>Gebyr Buypass</t>
  </si>
  <si>
    <t>Fordring på Gjøvik kommune</t>
  </si>
  <si>
    <t>Inngående merverdiavgift, høy sats, innførsel utland</t>
  </si>
  <si>
    <t>Ekstrainnsats deltakelse</t>
  </si>
  <si>
    <t>Kjøredato</t>
  </si>
  <si>
    <t>Avvik</t>
  </si>
  <si>
    <t>SUM INNTEKTER</t>
  </si>
  <si>
    <t>SUM ANDRE KOSTNADER</t>
  </si>
  <si>
    <t>Periodisert inntekt</t>
  </si>
  <si>
    <t>Kjøp klubbjakker</t>
  </si>
  <si>
    <t>Innkjøp utstyr</t>
  </si>
  <si>
    <t>Grunnlag MVA innførsel varer, høy sats debet</t>
  </si>
  <si>
    <t>Drift vedl. bygn. A</t>
  </si>
  <si>
    <t>Kontorrekvisita</t>
  </si>
  <si>
    <t>Møtekostnader (ikke styre-m.m)</t>
  </si>
  <si>
    <t>Sesongavslutning</t>
  </si>
  <si>
    <t>Mobiltelefon</t>
  </si>
  <si>
    <t>Renteinntekt bankinnskudd/post</t>
  </si>
  <si>
    <t>Fordring på hovedlaget</t>
  </si>
  <si>
    <t>Andre kortsiktige fordringer</t>
  </si>
  <si>
    <t>Lønnsforskudd</t>
  </si>
  <si>
    <t>budsjett</t>
  </si>
  <si>
    <t>02</t>
  </si>
  <si>
    <t>06</t>
  </si>
  <si>
    <t>Kostnader skiskole</t>
  </si>
  <si>
    <t>Øreavrunding</t>
  </si>
  <si>
    <t>Maskiner og anlegg (d)</t>
  </si>
  <si>
    <t>Diverse tilskudd/gaver til bygging av heis</t>
  </si>
  <si>
    <t>Fordringer Vipps</t>
  </si>
  <si>
    <t>Fordring Paypal</t>
  </si>
  <si>
    <t>Inngående merverdiavgift, lav sats</t>
  </si>
  <si>
    <t>Betalt arbeidsgiveravgift</t>
  </si>
  <si>
    <t>Utbetalte feriepenger</t>
  </si>
  <si>
    <t>Periodisert medlemskontingent</t>
  </si>
  <si>
    <t>Resultat hittil</t>
  </si>
  <si>
    <t>Tilskudd fra NIF</t>
  </si>
  <si>
    <t>Skiarrangement</t>
  </si>
  <si>
    <t>Aktivitetsuke, avgiftsfritt utenfor avg. området</t>
  </si>
  <si>
    <t>Mva kompensasjon</t>
  </si>
  <si>
    <t>Avskrivning driftsløsøre</t>
  </si>
  <si>
    <t>Regnskapshonorar</t>
  </si>
  <si>
    <t>Tilskudd spillmidler for bygging av heis</t>
  </si>
  <si>
    <t>Bankinnskudd 2050.21.59829 H/Drift</t>
  </si>
  <si>
    <t>Interrim 2400</t>
  </si>
  <si>
    <t>Utgående merverdiavgift, høy sats, innførsel utland</t>
  </si>
  <si>
    <t>Overføringer annen egenkapital</t>
  </si>
  <si>
    <t>RESULTATOVERSIKT MOT BUDSJETT</t>
  </si>
  <si>
    <t>Denne periode</t>
  </si>
  <si>
    <t>Gjøvik Skiklubb</t>
  </si>
  <si>
    <t>Avgiftspliktig salg høy sats</t>
  </si>
  <si>
    <t>Sponsorinntekt fritt</t>
  </si>
  <si>
    <t>Stønad til ulike prosjekter</t>
  </si>
  <si>
    <t>Dir. utg. vedr. trenersid</t>
  </si>
  <si>
    <t>Annen leiekostnad</t>
  </si>
  <si>
    <t>Mellomregning Skiskyting/alpint</t>
  </si>
  <si>
    <t>Alpint</t>
  </si>
  <si>
    <t>Endring</t>
  </si>
  <si>
    <t>Mai</t>
  </si>
  <si>
    <t>Oktober</t>
  </si>
  <si>
    <t>Utleie Hovdebakken, avgiftspliktig lav sats</t>
  </si>
  <si>
    <t>Aktivitetsuke Alpint</t>
  </si>
  <si>
    <t>Administrasjonskostnader</t>
  </si>
  <si>
    <t>Telefon</t>
  </si>
  <si>
    <t>Kontingenter</t>
  </si>
  <si>
    <t>Annen finansinntekt</t>
  </si>
  <si>
    <t>Valutatap (disagio)</t>
  </si>
  <si>
    <t>Spleisinnsamling Heis</t>
  </si>
  <si>
    <t>Tilgode/oppgjørskonto mva</t>
  </si>
  <si>
    <t>Leverandørgjeld</t>
  </si>
  <si>
    <t>KORTS.GJ. SELSKAP I KONSERN</t>
  </si>
  <si>
    <t>Annen kortsiktig gjeld</t>
  </si>
  <si>
    <t>Totalt for alle avdelinger</t>
  </si>
  <si>
    <t>I fjor</t>
  </si>
  <si>
    <t>Eiendeler</t>
  </si>
  <si>
    <t>Ikke bokført resultat</t>
  </si>
  <si>
    <t>Januar</t>
  </si>
  <si>
    <t>03</t>
  </si>
  <si>
    <t>07</t>
  </si>
  <si>
    <t>10</t>
  </si>
  <si>
    <t>Salg av kalendere</t>
  </si>
  <si>
    <t>Utg. Marken</t>
  </si>
  <si>
    <t>Samlinger</t>
  </si>
  <si>
    <t>Kjøp forbruksvarer</t>
  </si>
  <si>
    <t>Lønn til ansatte</t>
  </si>
  <si>
    <t>Feriepenger</t>
  </si>
  <si>
    <t>Snøproduksjon</t>
  </si>
  <si>
    <t>Drift og vedlikehold</t>
  </si>
  <si>
    <t>Forsikringspremier</t>
  </si>
  <si>
    <t>Provisjon Pay Pal</t>
  </si>
  <si>
    <t>ATV FB6669 Artic Cat 2017</t>
  </si>
  <si>
    <t>Heis</t>
  </si>
  <si>
    <t>Andre forskuddsbet. kostnader</t>
  </si>
  <si>
    <t>Inngående merverdiavgift, middel sats</t>
  </si>
  <si>
    <t>Skiskyting</t>
  </si>
  <si>
    <t>Sponsorinntekt avgiftspliktig, høy sats</t>
  </si>
  <si>
    <t>Salgsinntekt utenfor området</t>
  </si>
  <si>
    <t>Egenandel samlinger</t>
  </si>
  <si>
    <t>Andre treningskostnader</t>
  </si>
  <si>
    <t>Tilskudd langrennsutvalg</t>
  </si>
  <si>
    <t>Gebyr buypass</t>
  </si>
  <si>
    <t>Renter/provisjon kassekreditt</t>
  </si>
  <si>
    <t>Diverse interne fordringer, fordeling mva T62016-T52017</t>
  </si>
  <si>
    <t>Mellomregningskonto</t>
  </si>
  <si>
    <t>Forskuddsbetalt forsikring</t>
  </si>
  <si>
    <t>Kontanter Hovdebakken</t>
  </si>
  <si>
    <t>Andre påløpne kostnader</t>
  </si>
  <si>
    <t>Team Intersport Oppdal</t>
  </si>
  <si>
    <t>Rapport pr:</t>
  </si>
  <si>
    <t>Kostnader</t>
  </si>
  <si>
    <t>Egenkapital og gjeld</t>
  </si>
  <si>
    <t>Juni</t>
  </si>
  <si>
    <t>Treningsavg. Team m/mer</t>
  </si>
  <si>
    <t>Løypepreparering</t>
  </si>
  <si>
    <t>Fordring på superinvite (alpint)</t>
  </si>
  <si>
    <t>Spond</t>
  </si>
  <si>
    <t>Gjeld til kredittinstitusjoner</t>
  </si>
  <si>
    <t>Mva etter 6. termin</t>
  </si>
  <si>
    <t>Hovedlaget</t>
  </si>
  <si>
    <t>Gjøvik Marken, avgiftsfritt dugnadsarbeid</t>
  </si>
  <si>
    <t>Diverse utg. langrenn</t>
  </si>
  <si>
    <t>Drift/vedlikehold heis</t>
  </si>
  <si>
    <t>Drift hovdebakken</t>
  </si>
  <si>
    <t>Drift/vedlikeh. scooter</t>
  </si>
  <si>
    <t>Utgående merverdiavgift, høy sats</t>
  </si>
  <si>
    <t>Skyldig lønn</t>
  </si>
  <si>
    <t>Spleisinnsamling - balanseføres inntil bruk av midler</t>
  </si>
  <si>
    <t>RESULTATOVERSIKT</t>
  </si>
  <si>
    <t xml:space="preserve">Utarbeidet av: Frisikt Økonomi </t>
  </si>
  <si>
    <t/>
  </si>
  <si>
    <t xml:space="preserve">RESULTATOVERSIKT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</si>
</sst>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/m/yyyy;@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 tint="0.149967955565050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4" fontId="0" fillId="2" borderId="1" xfId="0" applyNumberFormat="1" applyFill="1" applyBorder="1"/>
    <xf numFmtId="0" fontId="0" fillId="0" borderId="2" xfId="0" applyBorder="1"/>
    <xf numFmtId="4" fontId="1" fillId="2" borderId="1" xfId="0" applyNumberFormat="1" applyFont="1" applyFill="1" applyBorder="1"/>
    <xf numFmtId="4" fontId="0" fillId="3" borderId="2" xfId="0" applyNumberFormat="1" applyFill="1" applyBorder="1"/>
    <xf numFmtId="3" fontId="0" fillId="2" borderId="1" xfId="0" applyNumberFormat="1" applyFill="1" applyBorder="1"/>
    <xf numFmtId="0" fontId="1" fillId="0" borderId="2" xfId="0" applyFont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5" borderId="2" xfId="0" applyNumberFormat="1" applyFill="1" applyBorder="1"/>
    <xf numFmtId="4" fontId="0" fillId="3" borderId="0" xfId="0" applyNumberFormat="1" applyFill="1"/>
    <xf numFmtId="4" fontId="0" fillId="5" borderId="0" xfId="0" applyNumberFormat="1" applyFill="1"/>
    <xf numFmtId="4" fontId="0" fillId="0" borderId="0" xfId="0" applyNumberFormat="1"/>
    <xf numFmtId="3" fontId="1" fillId="2" borderId="3" xfId="0" applyNumberFormat="1" applyFont="1" applyFill="1" applyBorder="1"/>
    <xf numFmtId="4" fontId="1" fillId="3" borderId="2" xfId="0" applyNumberFormat="1" applyFont="1" applyFill="1" applyBorder="1"/>
    <xf numFmtId="4" fontId="0" fillId="3" borderId="5" xfId="0" applyNumberFormat="1" applyFill="1" applyBorder="1"/>
    <xf numFmtId="0" fontId="1" fillId="0" borderId="6" xfId="0" applyFont="1" applyBorder="1"/>
    <xf numFmtId="3" fontId="0" fillId="3" borderId="2" xfId="0" applyNumberFormat="1" applyFill="1" applyBorder="1"/>
    <xf numFmtId="0" fontId="1" fillId="0" borderId="7" xfId="0" applyFont="1" applyBorder="1"/>
    <xf numFmtId="0" fontId="1" fillId="0" borderId="8" xfId="0" applyFont="1" applyBorder="1"/>
    <xf numFmtId="4" fontId="1" fillId="2" borderId="1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4" fontId="1" fillId="2" borderId="9" xfId="0" applyNumberFormat="1" applyFont="1" applyFill="1" applyBorder="1" applyAlignment="1">
      <alignment horizontal="right"/>
    </xf>
    <xf numFmtId="4" fontId="1" fillId="5" borderId="2" xfId="0" applyNumberFormat="1" applyFont="1" applyFill="1" applyBorder="1"/>
    <xf numFmtId="4" fontId="1" fillId="2" borderId="10" xfId="0" applyNumberFormat="1" applyFont="1" applyFill="1" applyBorder="1" applyAlignment="1">
      <alignment horizontal="right"/>
    </xf>
    <xf numFmtId="4" fontId="1" fillId="5" borderId="1" xfId="0" applyNumberFormat="1" applyFont="1" applyFill="1" applyBorder="1"/>
    <xf numFmtId="0" fontId="1" fillId="0" borderId="11" xfId="0" applyFont="1" applyBorder="1"/>
    <xf numFmtId="4" fontId="1" fillId="3" borderId="0" xfId="0" applyNumberFormat="1" applyFont="1" applyFill="1"/>
    <xf numFmtId="3" fontId="0" fillId="5" borderId="2" xfId="0" applyNumberFormat="1" applyFill="1" applyBorder="1"/>
    <xf numFmtId="3" fontId="0" fillId="5" borderId="1" xfId="0" applyNumberFormat="1" applyFill="1" applyBorder="1"/>
    <xf numFmtId="3" fontId="0" fillId="3" borderId="0" xfId="0" applyNumberFormat="1" applyFill="1"/>
    <xf numFmtId="4" fontId="0" fillId="4" borderId="12" xfId="0" applyNumberFormat="1" applyFill="1" applyBorder="1"/>
    <xf numFmtId="0" fontId="1" fillId="0" borderId="14" xfId="0" applyFont="1" applyBorder="1"/>
    <xf numFmtId="3" fontId="1" fillId="3" borderId="8" xfId="0" applyNumberFormat="1" applyFont="1" applyFill="1" applyBorder="1"/>
    <xf numFmtId="4" fontId="1" fillId="5" borderId="0" xfId="0" applyNumberFormat="1" applyFont="1" applyFill="1"/>
    <xf numFmtId="3" fontId="1" fillId="3" borderId="15" xfId="0" applyNumberFormat="1" applyFont="1" applyFill="1" applyBorder="1"/>
    <xf numFmtId="0" fontId="2" fillId="0" borderId="0" xfId="0" applyFont="1"/>
    <xf numFmtId="3" fontId="1" fillId="5" borderId="8" xfId="0" applyNumberFormat="1" applyFont="1" applyFill="1" applyBorder="1"/>
    <xf numFmtId="3" fontId="1" fillId="5" borderId="4" xfId="0" applyNumberFormat="1" applyFont="1" applyFill="1" applyBorder="1"/>
    <xf numFmtId="4" fontId="0" fillId="0" borderId="0" xfId="0" applyNumberFormat="1" applyAlignment="1">
      <alignment horizontal="right"/>
    </xf>
    <xf numFmtId="3" fontId="1" fillId="3" borderId="16" xfId="0" applyNumberFormat="1" applyFont="1" applyFill="1" applyBorder="1"/>
    <xf numFmtId="3" fontId="1" fillId="5" borderId="3" xfId="0" applyNumberFormat="1" applyFont="1" applyFill="1" applyBorder="1"/>
    <xf numFmtId="165" fontId="0" fillId="0" borderId="0" xfId="0" applyNumberFormat="1"/>
    <xf numFmtId="4" fontId="1" fillId="3" borderId="5" xfId="0" applyNumberFormat="1" applyFont="1" applyFill="1" applyBorder="1"/>
    <xf numFmtId="0" fontId="0" fillId="6" borderId="0" xfId="0" applyFill="1"/>
    <xf numFmtId="49" fontId="0" fillId="6" borderId="0" xfId="0" applyNumberFormat="1" applyFill="1"/>
    <xf numFmtId="0" fontId="1" fillId="0" borderId="17" xfId="0" applyFont="1" applyBorder="1"/>
    <xf numFmtId="4" fontId="3" fillId="0" borderId="0" xfId="0" applyNumberFormat="1" applyFont="1" applyAlignment="1">
      <alignment horizontal="right"/>
    </xf>
    <xf numFmtId="3" fontId="1" fillId="3" borderId="7" xfId="0" applyNumberFormat="1" applyFont="1" applyFill="1" applyBorder="1"/>
    <xf numFmtId="3" fontId="1" fillId="5" borderId="15" xfId="0" applyNumberFormat="1" applyFont="1" applyFill="1" applyBorder="1"/>
    <xf numFmtId="4" fontId="1" fillId="2" borderId="3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0" fontId="0" fillId="0" borderId="16" xfId="0" applyBorder="1"/>
    <xf numFmtId="0" fontId="1" fillId="0" borderId="15" xfId="0" applyFont="1" applyBorder="1"/>
    <xf numFmtId="4" fontId="1" fillId="3" borderId="11" xfId="0" applyNumberFormat="1" applyFont="1" applyFill="1" applyBorder="1" applyAlignment="1">
      <alignment horizontal="right"/>
    </xf>
    <xf numFmtId="0" fontId="1" fillId="0" borderId="16" xfId="0" applyFont="1" applyBorder="1"/>
    <xf numFmtId="0" fontId="0" fillId="0" borderId="15" xfId="0" applyBorder="1"/>
    <xf numFmtId="4" fontId="1" fillId="3" borderId="2" xfId="0" applyNumberFormat="1" applyFont="1" applyFill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3" fontId="0" fillId="3" borderId="5" xfId="0" applyNumberFormat="1" applyFill="1" applyBorder="1"/>
    <xf numFmtId="4" fontId="1" fillId="3" borderId="20" xfId="0" applyNumberFormat="1" applyFont="1" applyFill="1" applyBorder="1" applyAlignment="1">
      <alignment horizontal="right"/>
    </xf>
    <xf numFmtId="3" fontId="1" fillId="3" borderId="11" xfId="0" applyNumberFormat="1" applyFont="1" applyFill="1" applyBorder="1"/>
    <xf numFmtId="4" fontId="1" fillId="3" borderId="5" xfId="0" applyNumberFormat="1" applyFont="1" applyFill="1" applyBorder="1" applyAlignment="1">
      <alignment horizontal="right"/>
    </xf>
    <xf numFmtId="1" fontId="1" fillId="4" borderId="14" xfId="0" applyNumberFormat="1" applyFont="1" applyFill="1" applyBorder="1" applyAlignment="1">
      <alignment horizontal="right"/>
    </xf>
    <xf numFmtId="0" fontId="1" fillId="5" borderId="17" xfId="0" applyFont="1" applyFill="1" applyBorder="1" applyAlignment="1">
      <alignment horizontal="right"/>
    </xf>
    <xf numFmtId="3" fontId="0" fillId="5" borderId="0" xfId="0" applyNumberFormat="1" applyFill="1"/>
    <xf numFmtId="4" fontId="1" fillId="4" borderId="6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0" fontId="1" fillId="5" borderId="2" xfId="0" applyFont="1" applyFill="1" applyBorder="1"/>
    <xf numFmtId="0" fontId="1" fillId="5" borderId="9" xfId="0" applyFont="1" applyFill="1" applyBorder="1" applyAlignment="1">
      <alignment horizontal="right"/>
    </xf>
    <xf numFmtId="3" fontId="1" fillId="3" borderId="19" xfId="0" applyNumberFormat="1" applyFont="1" applyFill="1" applyBorder="1"/>
    <xf numFmtId="4" fontId="1" fillId="2" borderId="4" xfId="0" applyNumberFormat="1" applyFont="1" applyFill="1" applyBorder="1"/>
    <xf numFmtId="4" fontId="1" fillId="4" borderId="12" xfId="0" applyNumberFormat="1" applyFont="1" applyFill="1" applyBorder="1"/>
    <xf numFmtId="4" fontId="1" fillId="4" borderId="0" xfId="0" applyNumberFormat="1" applyFont="1" applyFill="1" applyAlignment="1">
      <alignment horizontal="right"/>
    </xf>
    <xf numFmtId="4" fontId="1" fillId="3" borderId="21" xfId="0" applyNumberFormat="1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10" xfId="0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1" fillId="3" borderId="14" xfId="0" applyNumberFormat="1" applyFont="1" applyFill="1" applyBorder="1" applyAlignment="1">
      <alignment horizontal="right"/>
    </xf>
    <xf numFmtId="4" fontId="4" fillId="0" borderId="0" xfId="0" applyNumberFormat="1" applyFont="1"/>
    <xf numFmtId="3" fontId="1" fillId="5" borderId="10" xfId="0" applyNumberFormat="1" applyFont="1" applyFill="1" applyBorder="1"/>
    <xf numFmtId="3" fontId="1" fillId="5" borderId="19" xfId="0" applyNumberFormat="1" applyFont="1" applyFill="1" applyBorder="1"/>
    <xf numFmtId="3" fontId="1" fillId="3" borderId="18" xfId="0" applyNumberFormat="1" applyFont="1" applyFill="1" applyBorder="1"/>
    <xf numFmtId="3" fontId="1" fillId="5" borderId="13" xfId="0" applyNumberFormat="1" applyFont="1" applyFill="1" applyBorder="1"/>
    <xf numFmtId="3" fontId="1" fillId="5" borderId="11" xfId="0" applyNumberFormat="1" applyFont="1" applyFill="1" applyBorder="1"/>
    <xf numFmtId="3" fontId="1" fillId="3" borderId="6" xfId="0" applyNumberFormat="1" applyFont="1" applyFill="1" applyBorder="1"/>
    <xf numFmtId="4" fontId="1" fillId="2" borderId="10" xfId="0" applyNumberFormat="1" applyFont="1" applyFill="1" applyBorder="1"/>
    <xf numFmtId="4" fontId="1" fillId="3" borderId="8" xfId="0" applyNumberFormat="1" applyFont="1" applyFill="1" applyBorder="1"/>
    <xf numFmtId="4" fontId="0" fillId="2" borderId="22" xfId="0" applyNumberFormat="1" applyFill="1" applyBorder="1"/>
    <xf numFmtId="4" fontId="3" fillId="0" borderId="0" xfId="0" applyNumberFormat="1" applyFont="1"/>
    <xf numFmtId="3" fontId="1" fillId="3" borderId="23" xfId="0" applyNumberFormat="1" applyFont="1" applyFill="1" applyBorder="1"/>
    <xf numFmtId="0" fontId="1" fillId="5" borderId="0" xfId="0" applyFont="1" applyFill="1"/>
    <xf numFmtId="3" fontId="1" fillId="5" borderId="7" xfId="0" applyNumberFormat="1" applyFont="1" applyFill="1" applyBorder="1"/>
    <xf numFmtId="0" fontId="1" fillId="5" borderId="6" xfId="0" applyFont="1" applyFill="1" applyBorder="1" applyAlignment="1">
      <alignment horizontal="right"/>
    </xf>
    <xf numFmtId="3" fontId="1" fillId="5" borderId="16" xfId="0" applyNumberFormat="1" applyFont="1" applyFill="1" applyBorder="1"/>
    <xf numFmtId="4" fontId="1" fillId="2" borderId="13" xfId="0" applyNumberFormat="1" applyFont="1" applyFill="1" applyBorder="1"/>
    <xf numFmtId="4" fontId="1" fillId="3" borderId="23" xfId="0" applyNumberFormat="1" applyFont="1" applyFill="1" applyBorder="1"/>
    <xf numFmtId="4" fontId="0" fillId="3" borderId="12" xfId="0" applyNumberFormat="1" applyFill="1" applyBorder="1"/>
    <xf numFmtId="4" fontId="1" fillId="5" borderId="16" xfId="0" applyNumberFormat="1" applyFont="1" applyFill="1" applyBorder="1"/>
    <xf numFmtId="4" fontId="1" fillId="5" borderId="7" xfId="0" applyNumberFormat="1" applyFont="1" applyFill="1" applyBorder="1"/>
    <xf numFmtId="0" fontId="1" fillId="5" borderId="14" xfId="0" applyFont="1" applyFill="1" applyBorder="1" applyAlignment="1">
      <alignment horizontal="right"/>
    </xf>
    <xf numFmtId="0" fontId="1" fillId="0" borderId="24" xfId="0" applyFont="1" applyBorder="1"/>
    <xf numFmtId="4" fontId="1" fillId="3" borderId="15" xfId="0" applyNumberFormat="1" applyFont="1" applyFill="1" applyBorder="1"/>
    <xf numFmtId="4" fontId="1" fillId="4" borderId="7" xfId="0" applyNumberFormat="1" applyFont="1" applyFill="1" applyBorder="1"/>
    <xf numFmtId="4" fontId="1" fillId="5" borderId="15" xfId="0" applyNumberFormat="1" applyFont="1" applyFill="1" applyBorder="1"/>
    <xf numFmtId="4" fontId="1" fillId="5" borderId="6" xfId="0" applyNumberFormat="1" applyFont="1" applyFill="1" applyBorder="1"/>
    <xf numFmtId="4" fontId="1" fillId="5" borderId="8" xfId="0" applyNumberFormat="1" applyFont="1" applyFill="1" applyBorder="1"/>
    <xf numFmtId="3" fontId="1" fillId="3" borderId="26" xfId="0" applyNumberFormat="1" applyFont="1" applyFill="1" applyBorder="1"/>
    <xf numFmtId="4" fontId="1" fillId="4" borderId="12" xfId="0" applyNumberFormat="1" applyFont="1" applyFill="1" applyBorder="1" applyAlignment="1">
      <alignment horizontal="right"/>
    </xf>
    <xf numFmtId="4" fontId="1" fillId="5" borderId="18" xfId="0" applyNumberFormat="1" applyFont="1" applyFill="1" applyBorder="1"/>
    <xf numFmtId="4" fontId="0" fillId="2" borderId="4" xfId="0" applyNumberFormat="1" applyFill="1" applyBorder="1"/>
    <xf numFmtId="16" fontId="1" fillId="0" borderId="14" xfId="0" applyNumberFormat="1" applyFont="1" applyBorder="1"/>
    <xf numFmtId="4" fontId="1" fillId="3" borderId="26" xfId="0" applyNumberFormat="1" applyFont="1" applyFill="1" applyBorder="1"/>
    <xf numFmtId="4" fontId="1" fillId="3" borderId="16" xfId="0" applyNumberFormat="1" applyFont="1" applyFill="1" applyBorder="1"/>
    <xf numFmtId="4" fontId="1" fillId="2" borderId="22" xfId="0" applyNumberFormat="1" applyFont="1" applyFill="1" applyBorder="1"/>
    <xf numFmtId="3" fontId="1" fillId="5" borderId="18" xfId="0" applyNumberFormat="1" applyFont="1" applyFill="1" applyBorder="1"/>
    <xf numFmtId="4" fontId="1" fillId="3" borderId="12" xfId="0" applyNumberFormat="1" applyFont="1" applyFill="1" applyBorder="1" applyAlignment="1">
      <alignment horizontal="right"/>
    </xf>
    <xf numFmtId="4" fontId="1" fillId="3" borderId="12" xfId="0" applyNumberFormat="1" applyFont="1" applyFill="1" applyBorder="1"/>
    <xf numFmtId="0" fontId="1" fillId="0" borderId="27" xfId="0" applyFont="1" applyBorder="1"/>
    <xf numFmtId="4" fontId="1" fillId="2" borderId="28" xfId="0" applyNumberFormat="1" applyFont="1" applyFill="1" applyBorder="1" applyAlignment="1">
      <alignment horizontal="right"/>
    </xf>
    <xf numFmtId="4" fontId="1" fillId="4" borderId="25" xfId="0" applyNumberFormat="1" applyFont="1" applyFill="1" applyBorder="1"/>
    <xf numFmtId="4" fontId="1" fillId="3" borderId="29" xfId="0" applyNumberFormat="1" applyFont="1" applyFill="1" applyBorder="1" applyAlignment="1">
      <alignment horizontal="right"/>
    </xf>
    <xf numFmtId="3" fontId="0" fillId="2" borderId="22" xfId="0" applyNumberFormat="1" applyFill="1" applyBorder="1"/>
    <xf numFmtId="4" fontId="1" fillId="5" borderId="4" xfId="0" applyNumberFormat="1" applyFont="1" applyFill="1" applyBorder="1"/>
    <xf numFmtId="3" fontId="0" fillId="0" borderId="0" xfId="1" applyNumberFormat="1" applyFont="1" applyBorder="1"/>
    <xf numFmtId="3" fontId="1" fillId="0" borderId="24" xfId="0" applyNumberFormat="1" applyFont="1" applyBorder="1"/>
    <xf numFmtId="4" fontId="1" fillId="5" borderId="3" xfId="0" applyNumberFormat="1" applyFont="1" applyFill="1" applyBorder="1"/>
    <xf numFmtId="166" fontId="0" fillId="0" borderId="0" xfId="1" applyNumberFormat="1" applyFont="1" applyBorder="1"/>
    <xf numFmtId="3" fontId="0" fillId="3" borderId="12" xfId="0" applyNumberFormat="1" applyFill="1" applyBorder="1"/>
    <xf numFmtId="4" fontId="1" fillId="3" borderId="30" xfId="0" applyNumberFormat="1" applyFont="1" applyFill="1" applyBorder="1" applyAlignment="1">
      <alignment horizontal="right"/>
    </xf>
    <xf numFmtId="1" fontId="1" fillId="4" borderId="30" xfId="0" applyNumberFormat="1" applyFont="1" applyFill="1" applyBorder="1" applyAlignment="1">
      <alignment horizontal="right"/>
    </xf>
    <xf numFmtId="4" fontId="1" fillId="3" borderId="11" xfId="0" applyNumberFormat="1" applyFont="1" applyFill="1" applyBorder="1"/>
    <xf numFmtId="4" fontId="1" fillId="2" borderId="22" xfId="0" applyNumberFormat="1" applyFont="1" applyFill="1" applyBorder="1" applyAlignment="1">
      <alignment horizontal="right"/>
    </xf>
    <xf numFmtId="3" fontId="0" fillId="0" borderId="0" xfId="0" applyNumberFormat="1"/>
    <xf numFmtId="4" fontId="1" fillId="4" borderId="16" xfId="0" applyNumberFormat="1" applyFont="1" applyFill="1" applyBorder="1"/>
    <xf numFmtId="4" fontId="1" fillId="3" borderId="19" xfId="0" applyNumberFormat="1" applyFont="1" applyFill="1" applyBorder="1"/>
    <xf numFmtId="4" fontId="1" fillId="4" borderId="29" xfId="0" applyNumberFormat="1" applyFont="1" applyFill="1" applyBorder="1" applyAlignment="1">
      <alignment horizontal="right"/>
    </xf>
    <xf numFmtId="3" fontId="1" fillId="5" borderId="6" xfId="0" applyNumberFormat="1" applyFont="1" applyFill="1" applyBorder="1"/>
    <xf numFmtId="4" fontId="1" fillId="2" borderId="31" xfId="0" applyNumberFormat="1" applyFont="1" applyFill="1" applyBorder="1" applyAlignment="1">
      <alignment horizontal="right"/>
    </xf>
    <xf numFmtId="4" fontId="1" fillId="3" borderId="7" xfId="0" applyNumberFormat="1" applyFont="1" applyFill="1" applyBorder="1"/>
    <xf numFmtId="3" fontId="1" fillId="0" borderId="7" xfId="1" applyNumberFormat="1" applyFont="1" applyBorder="1"/>
    <xf numFmtId="3" fontId="1" fillId="3" borderId="25" xfId="0" applyNumberFormat="1" applyFont="1" applyFill="1" applyBorder="1"/>
    <xf numFmtId="4" fontId="1" fillId="4" borderId="33" xfId="0" applyNumberFormat="1" applyFont="1" applyFill="1" applyBorder="1"/>
    <xf numFmtId="3" fontId="1" fillId="3" borderId="34" xfId="0" applyNumberFormat="1" applyFont="1" applyFill="1" applyBorder="1"/>
    <xf numFmtId="4" fontId="1" fillId="5" borderId="13" xfId="0" applyNumberFormat="1" applyFont="1" applyFill="1" applyBorder="1"/>
    <xf numFmtId="3" fontId="1" fillId="2" borderId="35" xfId="0" applyNumberFormat="1" applyFont="1" applyFill="1" applyBorder="1"/>
    <xf numFmtId="4" fontId="1" fillId="3" borderId="36" xfId="0" applyNumberFormat="1" applyFont="1" applyFill="1" applyBorder="1"/>
    <xf numFmtId="4" fontId="1" fillId="2" borderId="37" xfId="0" applyNumberFormat="1" applyFont="1" applyFill="1" applyBorder="1"/>
    <xf numFmtId="3" fontId="1" fillId="2" borderId="38" xfId="0" applyNumberFormat="1" applyFont="1" applyFill="1" applyBorder="1"/>
    <xf numFmtId="3" fontId="1" fillId="3" borderId="21" xfId="0" applyNumberFormat="1" applyFont="1" applyFill="1" applyBorder="1"/>
    <xf numFmtId="4" fontId="1" fillId="0" borderId="24" xfId="0" applyNumberFormat="1" applyFont="1" applyBorder="1"/>
    <xf numFmtId="4" fontId="1" fillId="0" borderId="7" xfId="1" applyNumberFormat="1" applyFont="1" applyBorder="1"/>
    <xf numFmtId="4" fontId="1" fillId="3" borderId="39" xfId="0" applyNumberFormat="1" applyFont="1" applyFill="1" applyBorder="1"/>
    <xf numFmtId="3" fontId="1" fillId="0" borderId="7" xfId="0" applyNumberFormat="1" applyFont="1" applyBorder="1"/>
    <xf numFmtId="4" fontId="1" fillId="4" borderId="29" xfId="0" applyNumberFormat="1" applyFont="1" applyFill="1" applyBorder="1"/>
    <xf numFmtId="4" fontId="1" fillId="4" borderId="6" xfId="0" applyNumberFormat="1" applyFont="1" applyFill="1" applyBorder="1"/>
    <xf numFmtId="4" fontId="1" fillId="3" borderId="6" xfId="0" applyNumberFormat="1" applyFont="1" applyFill="1" applyBorder="1"/>
    <xf numFmtId="3" fontId="0" fillId="3" borderId="34" xfId="0" applyNumberFormat="1" applyFill="1" applyBorder="1"/>
    <xf numFmtId="4" fontId="0" fillId="4" borderId="32" xfId="0" applyNumberFormat="1" applyFill="1" applyBorder="1"/>
    <xf numFmtId="4" fontId="1" fillId="5" borderId="11" xfId="0" applyNumberFormat="1" applyFont="1" applyFill="1" applyBorder="1"/>
    <xf numFmtId="4" fontId="1" fillId="3" borderId="25" xfId="0" applyNumberFormat="1" applyFont="1" applyFill="1" applyBorder="1"/>
    <xf numFmtId="4" fontId="1" fillId="2" borderId="35" xfId="0" applyNumberFormat="1" applyFont="1" applyFill="1" applyBorder="1"/>
    <xf numFmtId="3" fontId="1" fillId="2" borderId="37" xfId="0" applyNumberFormat="1" applyFont="1" applyFill="1" applyBorder="1"/>
    <xf numFmtId="4" fontId="0" fillId="3" borderId="15" xfId="0" applyNumberFormat="1" applyFill="1" applyBorder="1"/>
    <xf numFmtId="4" fontId="1" fillId="4" borderId="18" xfId="0" applyNumberFormat="1" applyFont="1" applyFill="1" applyBorder="1"/>
    <xf numFmtId="4" fontId="1" fillId="2" borderId="38" xfId="0" applyNumberFormat="1" applyFont="1" applyFill="1" applyBorder="1"/>
    <xf numFmtId="4" fontId="1" fillId="3" borderId="21" xfId="0" applyNumberFormat="1" applyFont="1" applyFill="1" applyBorder="1"/>
    <xf numFmtId="4" fontId="1" fillId="4" borderId="32" xfId="0" applyNumberFormat="1" applyFont="1" applyFill="1" applyBorder="1"/>
    <xf numFmtId="4" fontId="1" fillId="5" borderId="19" xfId="0" applyNumberFormat="1" applyFont="1" applyFill="1" applyBorder="1"/>
    <xf numFmtId="3" fontId="1" fillId="3" borderId="36" xfId="0" applyNumberFormat="1" applyFont="1" applyFill="1" applyBorder="1"/>
    <xf numFmtId="3" fontId="1" fillId="3" borderId="39" xfId="0" applyNumberFormat="1" applyFont="1" applyFill="1" applyBorder="1"/>
    <xf numFmtId="4" fontId="1" fillId="3" borderId="18" xfId="0" applyNumberFormat="1" applyFont="1" applyFill="1" applyBorder="1"/>
    <xf numFmtId="4" fontId="1" fillId="3" borderId="34" xfId="0" applyNumberFormat="1" applyFont="1" applyFill="1" applyBorder="1"/>
    <xf numFmtId="3" fontId="0" fillId="3" borderId="15" xfId="0" applyNumberFormat="1" applyFill="1" applyBorder="1"/>
    <xf numFmtId="4" fontId="1" fillId="5" borderId="10" xfId="0" applyNumberFormat="1" applyFont="1" applyFill="1" applyBorder="1"/>
    <xf numFmtId="4" fontId="0" fillId="3" borderId="34" xfId="0" applyNumberFormat="1" applyFill="1" applyBorder="1"/>
    <xf numFmtId="14" fontId="6" fillId="7" borderId="0" xfId="0" applyNumberFormat="1" applyFont="1" applyFill="1" applyAlignment="1">
      <alignment horizontal="right" vertical="center"/>
    </xf>
    <xf numFmtId="0" fontId="0" fillId="0" borderId="0" xfId="0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B188523-283A-4D92-A2FC-6F82FBC21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0"/>
          <a:ext cx="920576" cy="91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724395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706682-A4FB-4E8D-B686-96831030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0"/>
          <a:ext cx="920576" cy="9144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742949</xdr:colOff>
      <xdr:row>0</xdr:row>
      <xdr:rowOff>0</xdr:rowOff>
    </xdr:from>
    <xdr:to>
      <xdr:col>11</xdr:col>
      <xdr:colOff>552454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44311" y="0"/>
          <a:ext cx="1427509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5D3D33-8BCB-498D-B16E-524761CB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3EE04C3-66AA-466E-AE30-77DBD665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81F4A55-392A-49E7-BD38-364C1935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158576</xdr:colOff>
      <xdr:row>4</xdr:row>
      <xdr:rowOff>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61CBD70-548F-46BD-9526-B0DAF511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920576" cy="9144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48674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3"/>
  <sheetViews>
    <sheetView tabSelected="1" workbookViewId="0"/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4" width="15" customWidth="1"/>
    <col min="5" max="5" width="15" style="13" customWidth="1"/>
    <col min="6" max="6" width="15.1796875" style="13" customWidth="1"/>
  </cols>
  <sheetData>
    <row r="1" spans="1:9" x14ac:dyDescent="0.35">
      <c r="A1" t="s">
        <v>239</v>
      </c>
    </row>
    <row r="3" spans="1:9" ht="26" x14ac:dyDescent="0.6">
      <c r="A3" s="37" t="s">
        <v>161</v>
      </c>
      <c r="C3" s="48" t="s">
        <v>89</v>
      </c>
    </row>
    <row r="4" spans="1:9" ht="15.5" x14ac:dyDescent="0.35">
      <c r="C4" s="92" t="str">
        <f>CONCATENATE(B256," ",B257)</f>
        <v>November -  Desember  2024</v>
      </c>
    </row>
    <row r="5" spans="1:9" ht="15.5" x14ac:dyDescent="0.35">
      <c r="A5" t="s">
        <v>184</v>
      </c>
      <c r="E5" s="179" t="s">
        <v>240</v>
      </c>
      <c r="F5" s="180" t="s">
        <v>241</v>
      </c>
      <c r="G5" s="180" t="s">
        <v>241</v>
      </c>
      <c r="H5" s="180" t="s">
        <v>241</v>
      </c>
      <c r="I5" s="180" t="s">
        <v>241</v>
      </c>
    </row>
    <row r="6" spans="1:9" ht="15" thickBot="1" x14ac:dyDescent="0.4"/>
    <row r="7" spans="1:9" s="1" customFormat="1" ht="15" thickTop="1" x14ac:dyDescent="0.35">
      <c r="A7" s="47"/>
      <c r="B7" s="33"/>
      <c r="C7" s="103" t="s">
        <v>160</v>
      </c>
      <c r="D7" s="103" t="s">
        <v>160</v>
      </c>
      <c r="E7" s="52" t="s">
        <v>17</v>
      </c>
      <c r="F7" s="62" t="s">
        <v>17</v>
      </c>
    </row>
    <row r="8" spans="1:9" s="1" customFormat="1" ht="15" thickBot="1" x14ac:dyDescent="0.4">
      <c r="A8" s="27"/>
      <c r="B8" s="17"/>
      <c r="C8" s="96" t="s">
        <v>18</v>
      </c>
      <c r="D8" s="96" t="s">
        <v>185</v>
      </c>
      <c r="E8" s="55" t="s">
        <v>18</v>
      </c>
      <c r="F8" s="76" t="s">
        <v>185</v>
      </c>
    </row>
    <row r="9" spans="1:9" s="1" customFormat="1" x14ac:dyDescent="0.35">
      <c r="A9" s="7" t="s">
        <v>0</v>
      </c>
      <c r="C9" s="94"/>
      <c r="D9" s="94"/>
      <c r="E9" s="58"/>
      <c r="F9" s="64"/>
    </row>
    <row r="10" spans="1:9" x14ac:dyDescent="0.35">
      <c r="A10" s="3">
        <v>3000</v>
      </c>
      <c r="B10" t="s">
        <v>162</v>
      </c>
      <c r="C10" s="67">
        <f t="shared" ref="C10:D12" si="0">0</f>
        <v>0</v>
      </c>
      <c r="D10" s="67">
        <f t="shared" si="0"/>
        <v>0</v>
      </c>
      <c r="E10" s="18">
        <f>--52000</f>
        <v>52000</v>
      </c>
      <c r="F10" s="61">
        <f>0</f>
        <v>0</v>
      </c>
    </row>
    <row r="11" spans="1:9" x14ac:dyDescent="0.35">
      <c r="A11" s="3">
        <v>3005</v>
      </c>
      <c r="B11" t="s">
        <v>172</v>
      </c>
      <c r="C11" s="67">
        <f t="shared" si="0"/>
        <v>0</v>
      </c>
      <c r="D11" s="67">
        <f t="shared" si="0"/>
        <v>0</v>
      </c>
      <c r="E11" s="18">
        <f>--63428.57</f>
        <v>63428.57</v>
      </c>
      <c r="F11" s="61">
        <f>--20000</f>
        <v>20000</v>
      </c>
    </row>
    <row r="12" spans="1:9" x14ac:dyDescent="0.35">
      <c r="A12" s="3">
        <v>3006</v>
      </c>
      <c r="B12" t="s">
        <v>22</v>
      </c>
      <c r="C12" s="67">
        <f t="shared" si="0"/>
        <v>0</v>
      </c>
      <c r="D12" s="67">
        <f t="shared" si="0"/>
        <v>0</v>
      </c>
      <c r="E12" s="18">
        <f>--72643.2</f>
        <v>72643.199999999997</v>
      </c>
      <c r="F12" s="61">
        <f t="shared" ref="F12:F13" si="1">0</f>
        <v>0</v>
      </c>
    </row>
    <row r="13" spans="1:9" x14ac:dyDescent="0.35">
      <c r="A13" s="3">
        <v>3010</v>
      </c>
      <c r="B13" t="s">
        <v>106</v>
      </c>
      <c r="C13" s="67">
        <f>--11200</f>
        <v>11200</v>
      </c>
      <c r="D13" s="67">
        <f>0</f>
        <v>0</v>
      </c>
      <c r="E13" s="18">
        <f>--11200</f>
        <v>11200</v>
      </c>
      <c r="F13" s="61">
        <f t="shared" si="1"/>
        <v>0</v>
      </c>
    </row>
    <row r="14" spans="1:9" x14ac:dyDescent="0.35">
      <c r="A14" s="3">
        <v>3020</v>
      </c>
      <c r="B14" t="s">
        <v>207</v>
      </c>
      <c r="C14" s="67">
        <f>--226000</f>
        <v>226000</v>
      </c>
      <c r="D14" s="67">
        <f>--36500</f>
        <v>36500</v>
      </c>
      <c r="E14" s="18">
        <f>--287800</f>
        <v>287800</v>
      </c>
      <c r="F14" s="61">
        <f>--150000</f>
        <v>150000</v>
      </c>
    </row>
    <row r="15" spans="1:9" x14ac:dyDescent="0.35">
      <c r="A15" s="3">
        <v>3051</v>
      </c>
      <c r="B15" t="s">
        <v>71</v>
      </c>
      <c r="C15" s="67">
        <f>--423455.3571</f>
        <v>423455.35710000002</v>
      </c>
      <c r="D15" s="67">
        <f>--591876.143</f>
        <v>591876.14300000004</v>
      </c>
      <c r="E15" s="18">
        <f>--823241.3481</f>
        <v>823241.34809999994</v>
      </c>
      <c r="F15" s="61">
        <f>--1190790.8995</f>
        <v>1190790.8995000001</v>
      </c>
    </row>
    <row r="16" spans="1:9" x14ac:dyDescent="0.35">
      <c r="A16" s="3">
        <v>3121</v>
      </c>
      <c r="B16" t="s">
        <v>163</v>
      </c>
      <c r="C16" s="67">
        <f t="shared" ref="C16:D17" si="2">0</f>
        <v>0</v>
      </c>
      <c r="D16" s="67">
        <f t="shared" si="2"/>
        <v>0</v>
      </c>
      <c r="E16" s="18">
        <f>--45000</f>
        <v>45000</v>
      </c>
      <c r="F16" s="61">
        <f>--96000</f>
        <v>96000</v>
      </c>
    </row>
    <row r="17" spans="1:6" x14ac:dyDescent="0.35">
      <c r="A17" s="3">
        <v>3200</v>
      </c>
      <c r="B17" t="s">
        <v>208</v>
      </c>
      <c r="C17" s="67">
        <f t="shared" si="2"/>
        <v>0</v>
      </c>
      <c r="D17" s="67">
        <f t="shared" si="2"/>
        <v>0</v>
      </c>
      <c r="E17" s="18">
        <f>--10393</f>
        <v>10393</v>
      </c>
      <c r="F17" s="61">
        <f>--12890</f>
        <v>12890</v>
      </c>
    </row>
    <row r="18" spans="1:6" x14ac:dyDescent="0.35">
      <c r="A18" s="3">
        <v>3201</v>
      </c>
      <c r="B18" t="s">
        <v>91</v>
      </c>
      <c r="C18" s="67">
        <f>--22395</f>
        <v>22395</v>
      </c>
      <c r="D18" s="67">
        <f>--59535</f>
        <v>59535</v>
      </c>
      <c r="E18" s="18">
        <f>--124031.41</f>
        <v>124031.41</v>
      </c>
      <c r="F18" s="61">
        <f>--127855.14</f>
        <v>127855.14</v>
      </c>
    </row>
    <row r="19" spans="1:6" x14ac:dyDescent="0.35">
      <c r="A19" s="3">
        <v>3210</v>
      </c>
      <c r="B19" t="s">
        <v>148</v>
      </c>
      <c r="C19" s="67">
        <f>0</f>
        <v>0</v>
      </c>
      <c r="D19" s="67">
        <f>--115720</f>
        <v>115720</v>
      </c>
      <c r="E19" s="18">
        <f>--22932</f>
        <v>22932</v>
      </c>
      <c r="F19" s="61">
        <f>--129737</f>
        <v>129737</v>
      </c>
    </row>
    <row r="20" spans="1:6" x14ac:dyDescent="0.35">
      <c r="A20" s="3">
        <v>3390</v>
      </c>
      <c r="B20" t="s">
        <v>72</v>
      </c>
      <c r="C20" s="67">
        <f>--15300</f>
        <v>15300</v>
      </c>
      <c r="D20" s="67">
        <f t="shared" ref="D20:D26" si="3">0</f>
        <v>0</v>
      </c>
      <c r="E20" s="18">
        <f>--15300</f>
        <v>15300</v>
      </c>
      <c r="F20" s="61">
        <f>0</f>
        <v>0</v>
      </c>
    </row>
    <row r="21" spans="1:6" x14ac:dyDescent="0.35">
      <c r="A21" s="3">
        <v>3400</v>
      </c>
      <c r="B21" t="s">
        <v>6</v>
      </c>
      <c r="C21" s="67">
        <f t="shared" ref="C21:C22" si="4">0</f>
        <v>0</v>
      </c>
      <c r="D21" s="67">
        <f t="shared" si="3"/>
        <v>0</v>
      </c>
      <c r="E21" s="18">
        <f>--205111</f>
        <v>205111</v>
      </c>
      <c r="F21" s="61">
        <f>--249842</f>
        <v>249842</v>
      </c>
    </row>
    <row r="22" spans="1:6" x14ac:dyDescent="0.35">
      <c r="A22" s="3">
        <v>3401</v>
      </c>
      <c r="B22" t="s">
        <v>36</v>
      </c>
      <c r="C22" s="67">
        <f t="shared" si="4"/>
        <v>0</v>
      </c>
      <c r="D22" s="67">
        <f t="shared" si="3"/>
        <v>0</v>
      </c>
      <c r="E22" s="18">
        <f>--129948</f>
        <v>129948</v>
      </c>
      <c r="F22" s="61">
        <f>--21294</f>
        <v>21294</v>
      </c>
    </row>
    <row r="23" spans="1:6" x14ac:dyDescent="0.35">
      <c r="A23" s="3">
        <v>3405</v>
      </c>
      <c r="B23" t="s">
        <v>164</v>
      </c>
      <c r="C23" s="67">
        <f>--70250</f>
        <v>70250</v>
      </c>
      <c r="D23" s="67">
        <f t="shared" si="3"/>
        <v>0</v>
      </c>
      <c r="E23" s="18">
        <f>--295250</f>
        <v>295250</v>
      </c>
      <c r="F23" s="61">
        <f t="shared" ref="F23:F24" si="5">0</f>
        <v>0</v>
      </c>
    </row>
    <row r="24" spans="1:6" x14ac:dyDescent="0.35">
      <c r="A24" s="3">
        <v>3406</v>
      </c>
      <c r="B24" t="s">
        <v>53</v>
      </c>
      <c r="C24" s="67">
        <f>--6000</f>
        <v>6000</v>
      </c>
      <c r="D24" s="67">
        <f t="shared" si="3"/>
        <v>0</v>
      </c>
      <c r="E24" s="18">
        <f>--6000</f>
        <v>6000</v>
      </c>
      <c r="F24" s="61">
        <f t="shared" si="5"/>
        <v>0</v>
      </c>
    </row>
    <row r="25" spans="1:6" x14ac:dyDescent="0.35">
      <c r="A25" s="3">
        <v>3920</v>
      </c>
      <c r="B25" t="s">
        <v>37</v>
      </c>
      <c r="C25" s="67">
        <f t="shared" ref="C25:C33" si="6">0</f>
        <v>0</v>
      </c>
      <c r="D25" s="67">
        <f t="shared" si="3"/>
        <v>0</v>
      </c>
      <c r="E25" s="18">
        <f>--77589.34</f>
        <v>77589.34</v>
      </c>
      <c r="F25" s="61">
        <f>--15400</f>
        <v>15400</v>
      </c>
    </row>
    <row r="26" spans="1:6" x14ac:dyDescent="0.35">
      <c r="A26" s="3">
        <v>3921</v>
      </c>
      <c r="B26" t="s">
        <v>23</v>
      </c>
      <c r="C26" s="67">
        <f t="shared" si="6"/>
        <v>0</v>
      </c>
      <c r="D26" s="67">
        <f t="shared" si="3"/>
        <v>0</v>
      </c>
      <c r="E26" s="18">
        <f>--51914.53</f>
        <v>51914.53</v>
      </c>
      <c r="F26" s="61">
        <f>--45423.28</f>
        <v>45423.28</v>
      </c>
    </row>
    <row r="27" spans="1:6" x14ac:dyDescent="0.35">
      <c r="A27" s="3">
        <v>3922</v>
      </c>
      <c r="B27" t="s">
        <v>54</v>
      </c>
      <c r="C27" s="67">
        <f t="shared" si="6"/>
        <v>0</v>
      </c>
      <c r="D27" s="67">
        <f>--9757</f>
        <v>9757</v>
      </c>
      <c r="E27" s="18">
        <f>--27240</f>
        <v>27240</v>
      </c>
      <c r="F27" s="61">
        <f>--53527</f>
        <v>53527</v>
      </c>
    </row>
    <row r="28" spans="1:6" x14ac:dyDescent="0.35">
      <c r="A28" s="3">
        <v>3930</v>
      </c>
      <c r="B28" t="s">
        <v>55</v>
      </c>
      <c r="C28" s="67">
        <f t="shared" si="6"/>
        <v>0</v>
      </c>
      <c r="D28" s="67">
        <f>--25854</f>
        <v>25854</v>
      </c>
      <c r="E28" s="18">
        <f>--163170.9</f>
        <v>163170.9</v>
      </c>
      <c r="F28" s="61">
        <f>--243085.06</f>
        <v>243085.06</v>
      </c>
    </row>
    <row r="29" spans="1:6" x14ac:dyDescent="0.35">
      <c r="A29" s="3">
        <v>3932</v>
      </c>
      <c r="B29" t="s">
        <v>209</v>
      </c>
      <c r="C29" s="67">
        <f t="shared" si="6"/>
        <v>0</v>
      </c>
      <c r="D29" s="67">
        <f t="shared" ref="D29:E29" si="7">0</f>
        <v>0</v>
      </c>
      <c r="E29" s="18">
        <f t="shared" si="7"/>
        <v>0</v>
      </c>
      <c r="F29" s="61">
        <f>--37368</f>
        <v>37368</v>
      </c>
    </row>
    <row r="30" spans="1:6" x14ac:dyDescent="0.35">
      <c r="A30" s="3">
        <v>3934</v>
      </c>
      <c r="B30" t="s">
        <v>149</v>
      </c>
      <c r="C30" s="67">
        <f t="shared" si="6"/>
        <v>0</v>
      </c>
      <c r="D30" s="67">
        <f>--2570.74</f>
        <v>2570.7399999999998</v>
      </c>
      <c r="E30" s="18">
        <f>--197690.27</f>
        <v>197690.27</v>
      </c>
      <c r="F30" s="61">
        <f>--85270.92</f>
        <v>85270.92</v>
      </c>
    </row>
    <row r="31" spans="1:6" x14ac:dyDescent="0.35">
      <c r="A31" s="3">
        <v>3936</v>
      </c>
      <c r="B31" t="s">
        <v>150</v>
      </c>
      <c r="C31" s="67">
        <f t="shared" si="6"/>
        <v>0</v>
      </c>
      <c r="D31" s="67">
        <f t="shared" ref="D31:D33" si="8">0</f>
        <v>0</v>
      </c>
      <c r="E31" s="18">
        <f>0</f>
        <v>0</v>
      </c>
      <c r="F31" s="61">
        <f>--40500</f>
        <v>40500</v>
      </c>
    </row>
    <row r="32" spans="1:6" x14ac:dyDescent="0.35">
      <c r="A32" s="3">
        <v>3960</v>
      </c>
      <c r="B32" t="s">
        <v>73</v>
      </c>
      <c r="C32" s="67">
        <f t="shared" si="6"/>
        <v>0</v>
      </c>
      <c r="D32" s="67">
        <f t="shared" si="8"/>
        <v>0</v>
      </c>
      <c r="E32" s="18">
        <f>--1200</f>
        <v>1200</v>
      </c>
      <c r="F32" s="61">
        <f>--12960</f>
        <v>12960</v>
      </c>
    </row>
    <row r="33" spans="1:6" x14ac:dyDescent="0.35">
      <c r="A33" s="3">
        <v>3962</v>
      </c>
      <c r="B33" t="s">
        <v>231</v>
      </c>
      <c r="C33" s="67">
        <f t="shared" si="6"/>
        <v>0</v>
      </c>
      <c r="D33" s="67">
        <f t="shared" si="8"/>
        <v>0</v>
      </c>
      <c r="E33" s="18">
        <f>--147415</f>
        <v>147415</v>
      </c>
      <c r="F33" s="61">
        <f>--149330.32</f>
        <v>149330.32</v>
      </c>
    </row>
    <row r="34" spans="1:6" x14ac:dyDescent="0.35">
      <c r="A34" s="3">
        <v>3963</v>
      </c>
      <c r="B34" t="s">
        <v>24</v>
      </c>
      <c r="C34" s="67">
        <f>--6571.95</f>
        <v>6571.95</v>
      </c>
      <c r="D34" s="67">
        <f>--7.95</f>
        <v>7.95</v>
      </c>
      <c r="E34" s="18">
        <f>--8651.55</f>
        <v>8651.5499999999993</v>
      </c>
      <c r="F34" s="61">
        <f>-84.44</f>
        <v>-84.44</v>
      </c>
    </row>
    <row r="35" spans="1:6" x14ac:dyDescent="0.35">
      <c r="A35" s="3">
        <v>3965</v>
      </c>
      <c r="B35" t="s">
        <v>192</v>
      </c>
      <c r="C35" s="67">
        <f>0</f>
        <v>0</v>
      </c>
      <c r="D35" s="67">
        <f>--1650</f>
        <v>1650</v>
      </c>
      <c r="E35" s="18">
        <f>0</f>
        <v>0</v>
      </c>
      <c r="F35" s="61">
        <f>--1650</f>
        <v>1650</v>
      </c>
    </row>
    <row r="36" spans="1:6" x14ac:dyDescent="0.35">
      <c r="A36" s="3">
        <v>3991</v>
      </c>
      <c r="B36" t="s">
        <v>25</v>
      </c>
      <c r="C36" s="67">
        <f t="shared" ref="C36:F36" si="9">--125000</f>
        <v>125000</v>
      </c>
      <c r="D36" s="67">
        <f t="shared" si="9"/>
        <v>125000</v>
      </c>
      <c r="E36" s="18">
        <f t="shared" si="9"/>
        <v>125000</v>
      </c>
      <c r="F36" s="61">
        <f t="shared" si="9"/>
        <v>125000</v>
      </c>
    </row>
    <row r="37" spans="1:6" x14ac:dyDescent="0.35">
      <c r="A37" s="3">
        <v>3992</v>
      </c>
      <c r="B37" t="s">
        <v>151</v>
      </c>
      <c r="C37" s="67">
        <f>--227942</f>
        <v>227942</v>
      </c>
      <c r="D37" s="67">
        <f>--173647</f>
        <v>173647</v>
      </c>
      <c r="E37" s="18">
        <f>--227942</f>
        <v>227942</v>
      </c>
      <c r="F37" s="61">
        <f>--173647</f>
        <v>173647</v>
      </c>
    </row>
    <row r="38" spans="1:6" x14ac:dyDescent="0.35">
      <c r="A38" s="3">
        <v>3996</v>
      </c>
      <c r="B38" t="s">
        <v>121</v>
      </c>
      <c r="C38" s="67">
        <f t="shared" ref="C38:E39" si="10">0</f>
        <v>0</v>
      </c>
      <c r="D38" s="67">
        <f t="shared" si="10"/>
        <v>0</v>
      </c>
      <c r="E38" s="18">
        <f t="shared" si="10"/>
        <v>0</v>
      </c>
      <c r="F38" s="61">
        <f>--87754.46</f>
        <v>87754.46</v>
      </c>
    </row>
    <row r="39" spans="1:6" ht="15" thickBot="1" x14ac:dyDescent="0.4">
      <c r="A39" s="3">
        <v>3999</v>
      </c>
      <c r="B39" t="s">
        <v>56</v>
      </c>
      <c r="C39" s="67">
        <f t="shared" si="10"/>
        <v>0</v>
      </c>
      <c r="D39" s="67">
        <f t="shared" si="10"/>
        <v>0</v>
      </c>
      <c r="E39" s="18">
        <f t="shared" si="10"/>
        <v>0</v>
      </c>
      <c r="F39" s="61">
        <f>--10052</f>
        <v>10052</v>
      </c>
    </row>
    <row r="40" spans="1:6" s="1" customFormat="1" ht="15" thickBot="1" x14ac:dyDescent="0.4">
      <c r="A40" s="20" t="s">
        <v>119</v>
      </c>
      <c r="B40" s="19"/>
      <c r="C40" s="95">
        <f t="shared" ref="C40:F40" si="11">SUM(C10:C39)</f>
        <v>1134114.3070999999</v>
      </c>
      <c r="D40" s="95">
        <f t="shared" si="11"/>
        <v>1142117.8330000001</v>
      </c>
      <c r="E40" s="34">
        <f t="shared" si="11"/>
        <v>3192092.1180999991</v>
      </c>
      <c r="F40" s="93">
        <f t="shared" si="11"/>
        <v>3079292.6395</v>
      </c>
    </row>
    <row r="41" spans="1:6" x14ac:dyDescent="0.35">
      <c r="A41" s="3"/>
      <c r="C41" s="12"/>
      <c r="D41" s="12"/>
      <c r="E41" s="5"/>
      <c r="F41" s="16"/>
    </row>
    <row r="42" spans="1:6" s="1" customFormat="1" x14ac:dyDescent="0.35">
      <c r="A42" s="7" t="s">
        <v>221</v>
      </c>
      <c r="C42" s="35"/>
      <c r="D42" s="35"/>
      <c r="E42" s="15"/>
      <c r="F42" s="44"/>
    </row>
    <row r="43" spans="1:6" x14ac:dyDescent="0.35">
      <c r="A43" s="3">
        <v>4160</v>
      </c>
      <c r="B43" t="s">
        <v>74</v>
      </c>
      <c r="C43" s="67"/>
      <c r="D43" s="67"/>
      <c r="E43" s="18">
        <v>450</v>
      </c>
      <c r="F43" s="61"/>
    </row>
    <row r="44" spans="1:6" x14ac:dyDescent="0.35">
      <c r="A44" s="3">
        <v>4200</v>
      </c>
      <c r="B44" t="s">
        <v>122</v>
      </c>
      <c r="C44" s="67">
        <v>103100</v>
      </c>
      <c r="D44" s="67"/>
      <c r="E44" s="18">
        <v>133183.75</v>
      </c>
      <c r="F44" s="61">
        <v>-3120</v>
      </c>
    </row>
    <row r="45" spans="1:6" x14ac:dyDescent="0.35">
      <c r="A45" s="3">
        <v>4201</v>
      </c>
      <c r="B45" t="s">
        <v>123</v>
      </c>
      <c r="C45" s="67">
        <v>5500</v>
      </c>
      <c r="D45" s="67"/>
      <c r="E45" s="18">
        <v>17400</v>
      </c>
      <c r="F45" s="61">
        <v>26157.85</v>
      </c>
    </row>
    <row r="46" spans="1:6" x14ac:dyDescent="0.35">
      <c r="A46" s="3">
        <v>4206</v>
      </c>
      <c r="B46" t="s">
        <v>193</v>
      </c>
      <c r="C46" s="67"/>
      <c r="D46" s="67"/>
      <c r="E46" s="18">
        <v>51559.68</v>
      </c>
      <c r="F46" s="61">
        <v>41276.07</v>
      </c>
    </row>
    <row r="47" spans="1:6" x14ac:dyDescent="0.35">
      <c r="A47" s="3">
        <v>4207</v>
      </c>
      <c r="B47" t="s">
        <v>137</v>
      </c>
      <c r="C47" s="67"/>
      <c r="D47" s="67"/>
      <c r="E47" s="18"/>
      <c r="F47" s="61">
        <v>332.6</v>
      </c>
    </row>
    <row r="48" spans="1:6" x14ac:dyDescent="0.35">
      <c r="A48" s="3">
        <v>4208</v>
      </c>
      <c r="B48" t="s">
        <v>7</v>
      </c>
      <c r="C48" s="67"/>
      <c r="D48" s="67"/>
      <c r="E48" s="18">
        <v>10000</v>
      </c>
      <c r="F48" s="61">
        <v>10000</v>
      </c>
    </row>
    <row r="49" spans="1:6" x14ac:dyDescent="0.35">
      <c r="A49" s="3">
        <v>4210</v>
      </c>
      <c r="B49" t="s">
        <v>107</v>
      </c>
      <c r="C49" s="67">
        <v>62955.25</v>
      </c>
      <c r="D49" s="67">
        <v>17510</v>
      </c>
      <c r="E49" s="18">
        <v>156285.25</v>
      </c>
      <c r="F49" s="61">
        <v>92763</v>
      </c>
    </row>
    <row r="50" spans="1:6" x14ac:dyDescent="0.35">
      <c r="A50" s="3">
        <v>4211</v>
      </c>
      <c r="B50" t="s">
        <v>38</v>
      </c>
      <c r="C50" s="67">
        <v>26390</v>
      </c>
      <c r="D50" s="67">
        <v>1300</v>
      </c>
      <c r="E50" s="18">
        <v>46704.25</v>
      </c>
      <c r="F50" s="61">
        <v>78585</v>
      </c>
    </row>
    <row r="51" spans="1:6" x14ac:dyDescent="0.35">
      <c r="A51" s="3">
        <v>4212</v>
      </c>
      <c r="B51" t="s">
        <v>149</v>
      </c>
      <c r="C51" s="67">
        <v>3338.49</v>
      </c>
      <c r="D51" s="67">
        <v>4667.5</v>
      </c>
      <c r="E51" s="18">
        <v>176805.32</v>
      </c>
      <c r="F51" s="61">
        <v>128997.06</v>
      </c>
    </row>
    <row r="52" spans="1:6" x14ac:dyDescent="0.35">
      <c r="A52" s="3">
        <v>4213</v>
      </c>
      <c r="B52" t="s">
        <v>224</v>
      </c>
      <c r="C52" s="67">
        <v>52303.32</v>
      </c>
      <c r="D52" s="67">
        <v>67775</v>
      </c>
      <c r="E52" s="18">
        <v>110546.32</v>
      </c>
      <c r="F52" s="61">
        <v>182277</v>
      </c>
    </row>
    <row r="53" spans="1:6" x14ac:dyDescent="0.35">
      <c r="A53" s="3">
        <v>4214</v>
      </c>
      <c r="B53" t="s">
        <v>165</v>
      </c>
      <c r="C53" s="67">
        <v>877.81</v>
      </c>
      <c r="D53" s="67"/>
      <c r="E53" s="18">
        <v>7175.81</v>
      </c>
      <c r="F53" s="61">
        <v>11335</v>
      </c>
    </row>
    <row r="54" spans="1:6" x14ac:dyDescent="0.35">
      <c r="A54" s="3">
        <v>4215</v>
      </c>
      <c r="B54" t="s">
        <v>194</v>
      </c>
      <c r="C54" s="67">
        <v>60840</v>
      </c>
      <c r="D54" s="67">
        <v>8368.3700000000008</v>
      </c>
      <c r="E54" s="18">
        <v>103090</v>
      </c>
      <c r="F54" s="61">
        <v>124543.85</v>
      </c>
    </row>
    <row r="55" spans="1:6" x14ac:dyDescent="0.35">
      <c r="A55" s="3">
        <v>4216</v>
      </c>
      <c r="B55" t="s">
        <v>210</v>
      </c>
      <c r="C55" s="67">
        <v>1769</v>
      </c>
      <c r="D55" s="67">
        <v>2025</v>
      </c>
      <c r="E55" s="18">
        <v>13455.08</v>
      </c>
      <c r="F55" s="61">
        <v>4363.8500000000004</v>
      </c>
    </row>
    <row r="56" spans="1:6" x14ac:dyDescent="0.35">
      <c r="A56" s="3">
        <v>4218</v>
      </c>
      <c r="B56" t="s">
        <v>173</v>
      </c>
      <c r="C56" s="67"/>
      <c r="D56" s="67"/>
      <c r="E56" s="18">
        <v>-3552.2</v>
      </c>
      <c r="F56" s="61">
        <v>31573.93</v>
      </c>
    </row>
    <row r="57" spans="1:6" x14ac:dyDescent="0.35">
      <c r="A57" s="3">
        <v>4220</v>
      </c>
      <c r="B57" t="s">
        <v>57</v>
      </c>
      <c r="C57" s="67"/>
      <c r="D57" s="67">
        <v>10000</v>
      </c>
      <c r="E57" s="18">
        <v>25000</v>
      </c>
      <c r="F57" s="61">
        <v>45000</v>
      </c>
    </row>
    <row r="58" spans="1:6" x14ac:dyDescent="0.35">
      <c r="A58" s="3">
        <v>4221</v>
      </c>
      <c r="B58" t="s">
        <v>232</v>
      </c>
      <c r="C58" s="67"/>
      <c r="D58" s="67">
        <v>3815.23</v>
      </c>
      <c r="E58" s="18">
        <v>4948.3599999999997</v>
      </c>
      <c r="F58" s="61">
        <v>16835.330000000002</v>
      </c>
    </row>
    <row r="59" spans="1:6" x14ac:dyDescent="0.35">
      <c r="A59" s="3">
        <v>4300</v>
      </c>
      <c r="B59" t="s">
        <v>195</v>
      </c>
      <c r="C59" s="67">
        <v>400</v>
      </c>
      <c r="D59" s="67">
        <v>2903.96</v>
      </c>
      <c r="E59" s="18">
        <v>442.9</v>
      </c>
      <c r="F59" s="61">
        <v>10157.14</v>
      </c>
    </row>
    <row r="60" spans="1:6" x14ac:dyDescent="0.35">
      <c r="A60" s="3">
        <v>4301</v>
      </c>
      <c r="B60" t="s">
        <v>92</v>
      </c>
      <c r="C60" s="67"/>
      <c r="D60" s="67"/>
      <c r="E60" s="18">
        <v>33.008000000000003</v>
      </c>
      <c r="F60" s="61"/>
    </row>
    <row r="61" spans="1:6" x14ac:dyDescent="0.35">
      <c r="A61" s="3">
        <v>4310</v>
      </c>
      <c r="B61" t="s">
        <v>58</v>
      </c>
      <c r="C61" s="67">
        <v>10472.42</v>
      </c>
      <c r="D61" s="67">
        <v>26759.86</v>
      </c>
      <c r="E61" s="18">
        <v>52218.25</v>
      </c>
      <c r="F61" s="61">
        <v>79938.899999999994</v>
      </c>
    </row>
    <row r="62" spans="1:6" x14ac:dyDescent="0.35">
      <c r="A62" s="3">
        <v>4380</v>
      </c>
      <c r="B62" t="s">
        <v>124</v>
      </c>
      <c r="C62" s="67">
        <v>155552</v>
      </c>
      <c r="D62" s="67"/>
      <c r="E62" s="18">
        <v>155552</v>
      </c>
      <c r="F62" s="61"/>
    </row>
    <row r="63" spans="1:6" x14ac:dyDescent="0.35">
      <c r="A63" s="3">
        <v>4381</v>
      </c>
      <c r="B63" t="s">
        <v>108</v>
      </c>
      <c r="C63" s="67">
        <v>-155552</v>
      </c>
      <c r="D63" s="67"/>
      <c r="E63" s="18">
        <v>-155552</v>
      </c>
      <c r="F63" s="61"/>
    </row>
    <row r="64" spans="1:6" x14ac:dyDescent="0.35">
      <c r="A64" s="3">
        <v>4400</v>
      </c>
      <c r="B64" t="s">
        <v>75</v>
      </c>
      <c r="C64" s="67"/>
      <c r="D64" s="67"/>
      <c r="E64" s="18">
        <v>1500.56</v>
      </c>
      <c r="F64" s="61">
        <v>4234.99</v>
      </c>
    </row>
    <row r="65" spans="1:6" x14ac:dyDescent="0.35">
      <c r="A65" s="3">
        <v>4415</v>
      </c>
      <c r="B65" t="s">
        <v>109</v>
      </c>
      <c r="C65" s="67"/>
      <c r="D65" s="67"/>
      <c r="E65" s="18">
        <v>3921</v>
      </c>
      <c r="F65" s="61">
        <v>9134</v>
      </c>
    </row>
    <row r="66" spans="1:6" x14ac:dyDescent="0.35">
      <c r="A66" s="3">
        <v>5000</v>
      </c>
      <c r="B66" t="s">
        <v>196</v>
      </c>
      <c r="C66" s="67"/>
      <c r="D66" s="67"/>
      <c r="E66" s="18">
        <v>208818.75</v>
      </c>
      <c r="F66" s="61">
        <v>114387.5</v>
      </c>
    </row>
    <row r="67" spans="1:6" x14ac:dyDescent="0.35">
      <c r="A67" s="3">
        <v>5092</v>
      </c>
      <c r="B67" t="s">
        <v>197</v>
      </c>
      <c r="C67" s="67"/>
      <c r="D67" s="67"/>
      <c r="E67" s="18">
        <v>22484.59</v>
      </c>
      <c r="F67" s="61">
        <v>11667.54</v>
      </c>
    </row>
    <row r="68" spans="1:6" x14ac:dyDescent="0.35">
      <c r="A68" s="3">
        <v>6010</v>
      </c>
      <c r="B68" t="s">
        <v>152</v>
      </c>
      <c r="C68" s="67">
        <v>21805.74</v>
      </c>
      <c r="D68" s="67">
        <v>7268.58</v>
      </c>
      <c r="E68" s="18">
        <v>43611.48</v>
      </c>
      <c r="F68" s="61">
        <v>43611.48</v>
      </c>
    </row>
    <row r="69" spans="1:6" x14ac:dyDescent="0.35">
      <c r="A69" s="3">
        <v>6320</v>
      </c>
      <c r="B69" t="s">
        <v>76</v>
      </c>
      <c r="C69" s="67"/>
      <c r="D69" s="67"/>
      <c r="E69" s="18">
        <v>3652</v>
      </c>
      <c r="F69" s="61">
        <v>8315.2199999999993</v>
      </c>
    </row>
    <row r="70" spans="1:6" x14ac:dyDescent="0.35">
      <c r="A70" s="3">
        <v>6340</v>
      </c>
      <c r="B70" t="s">
        <v>39</v>
      </c>
      <c r="C70" s="67">
        <v>6669.39</v>
      </c>
      <c r="D70" s="67">
        <v>9573.4380000000001</v>
      </c>
      <c r="E70" s="18">
        <v>36896.35</v>
      </c>
      <c r="F70" s="61">
        <v>44613.697999999997</v>
      </c>
    </row>
    <row r="71" spans="1:6" x14ac:dyDescent="0.35">
      <c r="A71" s="3">
        <v>6341</v>
      </c>
      <c r="B71" t="s">
        <v>8</v>
      </c>
      <c r="C71" s="67">
        <v>13603.984</v>
      </c>
      <c r="D71" s="67">
        <v>24689.008000000002</v>
      </c>
      <c r="E71" s="18">
        <v>96384.808000000005</v>
      </c>
      <c r="F71" s="61">
        <v>111305.288</v>
      </c>
    </row>
    <row r="72" spans="1:6" x14ac:dyDescent="0.35">
      <c r="A72" s="3">
        <v>6490</v>
      </c>
      <c r="B72" t="s">
        <v>166</v>
      </c>
      <c r="C72" s="67"/>
      <c r="D72" s="67"/>
      <c r="E72" s="18"/>
      <c r="F72" s="61">
        <v>1222.04</v>
      </c>
    </row>
    <row r="73" spans="1:6" x14ac:dyDescent="0.35">
      <c r="A73" s="3">
        <v>6540</v>
      </c>
      <c r="B73" t="s">
        <v>77</v>
      </c>
      <c r="C73" s="67"/>
      <c r="D73" s="67">
        <v>-44103</v>
      </c>
      <c r="E73" s="18">
        <v>0</v>
      </c>
      <c r="F73" s="61">
        <v>-117528.09</v>
      </c>
    </row>
    <row r="74" spans="1:6" x14ac:dyDescent="0.35">
      <c r="A74" s="3">
        <v>6545</v>
      </c>
      <c r="B74" t="s">
        <v>78</v>
      </c>
      <c r="C74" s="67"/>
      <c r="D74" s="67"/>
      <c r="E74" s="18"/>
      <c r="F74" s="61">
        <v>5742.2</v>
      </c>
    </row>
    <row r="75" spans="1:6" x14ac:dyDescent="0.35">
      <c r="A75" s="3">
        <v>6550</v>
      </c>
      <c r="B75" t="s">
        <v>110</v>
      </c>
      <c r="C75" s="67"/>
      <c r="D75" s="67"/>
      <c r="E75" s="18"/>
      <c r="F75" s="61">
        <v>818</v>
      </c>
    </row>
    <row r="76" spans="1:6" x14ac:dyDescent="0.35">
      <c r="A76" s="3">
        <v>6553</v>
      </c>
      <c r="B76" t="s">
        <v>93</v>
      </c>
      <c r="C76" s="67">
        <v>752.4</v>
      </c>
      <c r="D76" s="67">
        <v>1605.6</v>
      </c>
      <c r="E76" s="18">
        <v>21106.3</v>
      </c>
      <c r="F76" s="61">
        <v>9706.8140000000003</v>
      </c>
    </row>
    <row r="77" spans="1:6" x14ac:dyDescent="0.35">
      <c r="A77" s="3">
        <v>6600</v>
      </c>
      <c r="B77" t="s">
        <v>125</v>
      </c>
      <c r="C77" s="67">
        <v>206361.432</v>
      </c>
      <c r="D77" s="67">
        <v>22266.32</v>
      </c>
      <c r="E77" s="18">
        <v>207919.64799999999</v>
      </c>
      <c r="F77" s="61">
        <v>26968.09</v>
      </c>
    </row>
    <row r="78" spans="1:6" x14ac:dyDescent="0.35">
      <c r="A78" s="3">
        <v>6610</v>
      </c>
      <c r="B78" t="s">
        <v>233</v>
      </c>
      <c r="C78" s="67">
        <v>2480.8000000000002</v>
      </c>
      <c r="D78" s="67">
        <v>146933.88</v>
      </c>
      <c r="E78" s="18">
        <v>18361.407999999999</v>
      </c>
      <c r="F78" s="61">
        <v>301646.89199999999</v>
      </c>
    </row>
    <row r="79" spans="1:6" x14ac:dyDescent="0.35">
      <c r="A79" s="3">
        <v>6640</v>
      </c>
      <c r="B79" t="s">
        <v>234</v>
      </c>
      <c r="C79" s="67">
        <v>365455.48800000001</v>
      </c>
      <c r="D79" s="67">
        <v>44590</v>
      </c>
      <c r="E79" s="18">
        <v>436113.93199999997</v>
      </c>
      <c r="F79" s="61">
        <v>462593.24800000002</v>
      </c>
    </row>
    <row r="80" spans="1:6" x14ac:dyDescent="0.35">
      <c r="A80" s="3">
        <v>6641</v>
      </c>
      <c r="B80" t="s">
        <v>79</v>
      </c>
      <c r="C80" s="67"/>
      <c r="D80" s="67"/>
      <c r="E80" s="18">
        <v>4123.2</v>
      </c>
      <c r="F80" s="61"/>
    </row>
    <row r="81" spans="1:6" x14ac:dyDescent="0.35">
      <c r="A81" s="3">
        <v>6642</v>
      </c>
      <c r="B81" t="s">
        <v>235</v>
      </c>
      <c r="C81" s="67"/>
      <c r="D81" s="67">
        <v>151108.79999999999</v>
      </c>
      <c r="E81" s="18">
        <v>1228</v>
      </c>
      <c r="F81" s="61">
        <v>173998.54399999999</v>
      </c>
    </row>
    <row r="82" spans="1:6" x14ac:dyDescent="0.35">
      <c r="A82" s="3">
        <v>6645</v>
      </c>
      <c r="B82" t="s">
        <v>198</v>
      </c>
      <c r="C82" s="67">
        <v>26606.655999999999</v>
      </c>
      <c r="D82" s="67">
        <v>39114.311999999998</v>
      </c>
      <c r="E82" s="18">
        <v>72110.656000000003</v>
      </c>
      <c r="F82" s="61">
        <v>94952.712</v>
      </c>
    </row>
    <row r="83" spans="1:6" x14ac:dyDescent="0.35">
      <c r="A83" s="3">
        <v>6660</v>
      </c>
      <c r="B83" t="s">
        <v>26</v>
      </c>
      <c r="C83" s="67">
        <v>13475.6</v>
      </c>
      <c r="D83" s="67">
        <v>33747.553999999996</v>
      </c>
      <c r="E83" s="18">
        <v>204149.16800000001</v>
      </c>
      <c r="F83" s="61">
        <v>221577.56400000001</v>
      </c>
    </row>
    <row r="84" spans="1:6" x14ac:dyDescent="0.35">
      <c r="A84" s="3">
        <v>6680</v>
      </c>
      <c r="B84" t="s">
        <v>199</v>
      </c>
      <c r="C84" s="67">
        <v>10115.608</v>
      </c>
      <c r="D84" s="67">
        <v>675.25</v>
      </c>
      <c r="E84" s="18">
        <v>33367.858</v>
      </c>
      <c r="F84" s="61">
        <v>19762.599999999999</v>
      </c>
    </row>
    <row r="85" spans="1:6" x14ac:dyDescent="0.35">
      <c r="A85" s="3">
        <v>6690</v>
      </c>
      <c r="B85" t="s">
        <v>59</v>
      </c>
      <c r="C85" s="67"/>
      <c r="D85" s="67">
        <v>1206.9000000000001</v>
      </c>
      <c r="E85" s="18">
        <v>13486.2</v>
      </c>
      <c r="F85" s="61">
        <v>13121.87</v>
      </c>
    </row>
    <row r="86" spans="1:6" x14ac:dyDescent="0.35">
      <c r="A86" s="3">
        <v>6695</v>
      </c>
      <c r="B86" t="s">
        <v>225</v>
      </c>
      <c r="C86" s="67"/>
      <c r="D86" s="67"/>
      <c r="E86" s="18">
        <v>0</v>
      </c>
      <c r="F86" s="61">
        <v>16083.99</v>
      </c>
    </row>
    <row r="87" spans="1:6" x14ac:dyDescent="0.35">
      <c r="A87" s="3">
        <v>6696</v>
      </c>
      <c r="B87" t="s">
        <v>9</v>
      </c>
      <c r="C87" s="67"/>
      <c r="D87" s="67">
        <v>21582.89</v>
      </c>
      <c r="E87" s="18">
        <v>13213.44</v>
      </c>
      <c r="F87" s="61">
        <v>58932.89</v>
      </c>
    </row>
    <row r="88" spans="1:6" x14ac:dyDescent="0.35">
      <c r="A88" s="3">
        <v>6705</v>
      </c>
      <c r="B88" t="s">
        <v>153</v>
      </c>
      <c r="C88" s="67">
        <v>2702.48</v>
      </c>
      <c r="D88" s="67">
        <v>17762.400000000001</v>
      </c>
      <c r="E88" s="18">
        <v>153033.712</v>
      </c>
      <c r="F88" s="61">
        <v>105554.746</v>
      </c>
    </row>
    <row r="89" spans="1:6" x14ac:dyDescent="0.35">
      <c r="A89" s="3">
        <v>6800</v>
      </c>
      <c r="B89" t="s">
        <v>126</v>
      </c>
      <c r="C89" s="67"/>
      <c r="D89" s="67"/>
      <c r="E89" s="18">
        <v>249.66</v>
      </c>
      <c r="F89" s="61">
        <v>2732.1840000000002</v>
      </c>
    </row>
    <row r="90" spans="1:6" x14ac:dyDescent="0.35">
      <c r="A90" s="3">
        <v>6845</v>
      </c>
      <c r="B90" t="s">
        <v>111</v>
      </c>
      <c r="C90" s="67">
        <v>2275.7939999999999</v>
      </c>
      <c r="D90" s="67">
        <v>1870.7819999999999</v>
      </c>
      <c r="E90" s="18">
        <v>11502.578</v>
      </c>
      <c r="F90" s="61">
        <v>11883.922</v>
      </c>
    </row>
    <row r="91" spans="1:6" x14ac:dyDescent="0.35">
      <c r="A91" s="3">
        <v>6860</v>
      </c>
      <c r="B91" t="s">
        <v>127</v>
      </c>
      <c r="C91" s="67"/>
      <c r="D91" s="67"/>
      <c r="E91" s="18">
        <v>2023.7</v>
      </c>
      <c r="F91" s="61">
        <v>1455</v>
      </c>
    </row>
    <row r="92" spans="1:6" x14ac:dyDescent="0.35">
      <c r="A92" s="3">
        <v>6862</v>
      </c>
      <c r="B92" t="s">
        <v>128</v>
      </c>
      <c r="C92" s="67"/>
      <c r="D92" s="67"/>
      <c r="E92" s="18">
        <v>21916</v>
      </c>
      <c r="F92" s="61">
        <v>12781</v>
      </c>
    </row>
    <row r="93" spans="1:6" x14ac:dyDescent="0.35">
      <c r="A93" s="3">
        <v>6890</v>
      </c>
      <c r="B93" t="s">
        <v>174</v>
      </c>
      <c r="C93" s="67"/>
      <c r="D93" s="67"/>
      <c r="E93" s="18">
        <v>8025.6</v>
      </c>
      <c r="F93" s="61">
        <v>8135.04</v>
      </c>
    </row>
    <row r="94" spans="1:6" x14ac:dyDescent="0.35">
      <c r="A94" s="3">
        <v>6900</v>
      </c>
      <c r="B94" t="s">
        <v>175</v>
      </c>
      <c r="C94" s="67">
        <v>99.01</v>
      </c>
      <c r="D94" s="67"/>
      <c r="E94" s="18">
        <v>99.01</v>
      </c>
      <c r="F94" s="61">
        <v>421.71199999999999</v>
      </c>
    </row>
    <row r="95" spans="1:6" x14ac:dyDescent="0.35">
      <c r="A95" s="3">
        <v>6903</v>
      </c>
      <c r="B95" t="s">
        <v>129</v>
      </c>
      <c r="C95" s="67"/>
      <c r="D95" s="67"/>
      <c r="E95" s="18"/>
      <c r="F95" s="61">
        <v>220.76</v>
      </c>
    </row>
    <row r="96" spans="1:6" x14ac:dyDescent="0.35">
      <c r="A96" s="3">
        <v>6940</v>
      </c>
      <c r="B96" t="s">
        <v>40</v>
      </c>
      <c r="C96" s="67"/>
      <c r="D96" s="67"/>
      <c r="E96" s="18">
        <v>1474.01</v>
      </c>
      <c r="F96" s="61"/>
    </row>
    <row r="97" spans="1:6" x14ac:dyDescent="0.35">
      <c r="A97" s="3">
        <v>7324</v>
      </c>
      <c r="B97" t="s">
        <v>60</v>
      </c>
      <c r="C97" s="67"/>
      <c r="D97" s="67"/>
      <c r="E97" s="18"/>
      <c r="F97" s="61">
        <v>210</v>
      </c>
    </row>
    <row r="98" spans="1:6" x14ac:dyDescent="0.35">
      <c r="A98" s="3">
        <v>7400</v>
      </c>
      <c r="B98" t="s">
        <v>61</v>
      </c>
      <c r="C98" s="67"/>
      <c r="D98" s="67"/>
      <c r="E98" s="18"/>
      <c r="F98" s="61">
        <v>2000</v>
      </c>
    </row>
    <row r="99" spans="1:6" x14ac:dyDescent="0.35">
      <c r="A99" s="3">
        <v>7410</v>
      </c>
      <c r="B99" t="s">
        <v>176</v>
      </c>
      <c r="C99" s="67">
        <v>9570</v>
      </c>
      <c r="D99" s="67"/>
      <c r="E99" s="18">
        <v>9570</v>
      </c>
      <c r="F99" s="61">
        <v>11140</v>
      </c>
    </row>
    <row r="100" spans="1:6" x14ac:dyDescent="0.35">
      <c r="A100" s="3">
        <v>7420</v>
      </c>
      <c r="B100" t="s">
        <v>53</v>
      </c>
      <c r="C100" s="67"/>
      <c r="D100" s="67"/>
      <c r="E100" s="18">
        <v>6668</v>
      </c>
      <c r="F100" s="61">
        <v>2802</v>
      </c>
    </row>
    <row r="101" spans="1:6" x14ac:dyDescent="0.35">
      <c r="A101" s="3">
        <v>7450</v>
      </c>
      <c r="B101" t="s">
        <v>211</v>
      </c>
      <c r="C101" s="67">
        <v>95000</v>
      </c>
      <c r="D101" s="67">
        <v>95000</v>
      </c>
      <c r="E101" s="18">
        <v>95000</v>
      </c>
      <c r="F101" s="61">
        <v>95000</v>
      </c>
    </row>
    <row r="102" spans="1:6" x14ac:dyDescent="0.35">
      <c r="A102" s="3">
        <v>7451</v>
      </c>
      <c r="B102" t="s">
        <v>10</v>
      </c>
      <c r="C102" s="67">
        <v>30000</v>
      </c>
      <c r="D102" s="67">
        <v>30000</v>
      </c>
      <c r="E102" s="18">
        <v>30000</v>
      </c>
      <c r="F102" s="61">
        <v>30000</v>
      </c>
    </row>
    <row r="103" spans="1:6" x14ac:dyDescent="0.35">
      <c r="A103" s="3">
        <v>7510</v>
      </c>
      <c r="B103" t="s">
        <v>200</v>
      </c>
      <c r="C103" s="67">
        <v>8520.3333999999995</v>
      </c>
      <c r="D103" s="67">
        <v>7974.1665999999996</v>
      </c>
      <c r="E103" s="18">
        <v>45663.457000000002</v>
      </c>
      <c r="F103" s="61">
        <v>48063.039599999996</v>
      </c>
    </row>
    <row r="104" spans="1:6" x14ac:dyDescent="0.35">
      <c r="A104" s="3">
        <v>7740</v>
      </c>
      <c r="B104" t="s">
        <v>138</v>
      </c>
      <c r="C104" s="67">
        <v>-0.26</v>
      </c>
      <c r="D104" s="67">
        <v>106.98</v>
      </c>
      <c r="E104" s="18">
        <v>-0.94</v>
      </c>
      <c r="F104" s="61">
        <v>105.55</v>
      </c>
    </row>
    <row r="105" spans="1:6" x14ac:dyDescent="0.35">
      <c r="A105" s="3">
        <v>7770</v>
      </c>
      <c r="B105" t="s">
        <v>80</v>
      </c>
      <c r="C105" s="67">
        <v>202.75</v>
      </c>
      <c r="D105" s="67">
        <v>219</v>
      </c>
      <c r="E105" s="18">
        <v>1588.75</v>
      </c>
      <c r="F105" s="61">
        <v>2928.25</v>
      </c>
    </row>
    <row r="106" spans="1:6" x14ac:dyDescent="0.35">
      <c r="A106" s="3">
        <v>7780</v>
      </c>
      <c r="B106" t="s">
        <v>27</v>
      </c>
      <c r="C106" s="67"/>
      <c r="D106" s="67">
        <v>622.78</v>
      </c>
      <c r="E106" s="18">
        <v>310.77999999999997</v>
      </c>
      <c r="F106" s="61">
        <v>2176.58</v>
      </c>
    </row>
    <row r="107" spans="1:6" x14ac:dyDescent="0.35">
      <c r="A107" s="3">
        <v>7781</v>
      </c>
      <c r="B107" t="s">
        <v>112</v>
      </c>
      <c r="C107" s="67">
        <v>604.41</v>
      </c>
      <c r="D107" s="67"/>
      <c r="E107" s="18">
        <v>1178.4000000000001</v>
      </c>
      <c r="F107" s="61"/>
    </row>
    <row r="108" spans="1:6" x14ac:dyDescent="0.35">
      <c r="A108" s="3">
        <v>7782</v>
      </c>
      <c r="B108" t="s">
        <v>201</v>
      </c>
      <c r="C108" s="67">
        <v>7985.97</v>
      </c>
      <c r="D108" s="67">
        <v>11872.83</v>
      </c>
      <c r="E108" s="18">
        <v>18672.8</v>
      </c>
      <c r="F108" s="61">
        <v>1126.5899999999999</v>
      </c>
    </row>
    <row r="109" spans="1:6" x14ac:dyDescent="0.35">
      <c r="A109" s="3">
        <v>7783</v>
      </c>
      <c r="B109" t="s">
        <v>62</v>
      </c>
      <c r="C109" s="67"/>
      <c r="D109" s="67"/>
      <c r="E109" s="18">
        <v>5575.77</v>
      </c>
      <c r="F109" s="61">
        <v>4652.7299999999996</v>
      </c>
    </row>
    <row r="110" spans="1:6" x14ac:dyDescent="0.35">
      <c r="A110" s="3">
        <v>7790</v>
      </c>
      <c r="B110" t="s">
        <v>81</v>
      </c>
      <c r="C110" s="67"/>
      <c r="D110" s="67"/>
      <c r="E110" s="18">
        <v>4310</v>
      </c>
      <c r="F110" s="61">
        <v>123.75</v>
      </c>
    </row>
    <row r="111" spans="1:6" ht="15" thickBot="1" x14ac:dyDescent="0.4">
      <c r="A111" s="3">
        <v>7791</v>
      </c>
      <c r="B111" t="s">
        <v>113</v>
      </c>
      <c r="C111" s="67"/>
      <c r="D111" s="67"/>
      <c r="E111" s="18">
        <v>130</v>
      </c>
      <c r="F111" s="61"/>
    </row>
    <row r="112" spans="1:6" s="1" customFormat="1" ht="15" thickBot="1" x14ac:dyDescent="0.4">
      <c r="A112" s="20" t="s">
        <v>120</v>
      </c>
      <c r="B112" s="19"/>
      <c r="C112" s="95">
        <f t="shared" ref="C112:F112" si="12">SUM(C43:C111)</f>
        <v>1152233.8753999998</v>
      </c>
      <c r="D112" s="95">
        <f t="shared" si="12"/>
        <v>770813.39060000004</v>
      </c>
      <c r="E112" s="34">
        <f t="shared" si="12"/>
        <v>2765186.4130000002</v>
      </c>
      <c r="F112" s="93">
        <f t="shared" si="12"/>
        <v>2861398.5135999997</v>
      </c>
    </row>
    <row r="113" spans="1:6" x14ac:dyDescent="0.35">
      <c r="A113" s="3"/>
      <c r="C113" s="12"/>
      <c r="D113" s="12"/>
      <c r="E113" s="5"/>
      <c r="F113" s="16"/>
    </row>
    <row r="114" spans="1:6" s="1" customFormat="1" x14ac:dyDescent="0.35">
      <c r="A114" s="7" t="s">
        <v>19</v>
      </c>
      <c r="C114" s="35"/>
      <c r="D114" s="35"/>
      <c r="E114" s="15"/>
      <c r="F114" s="44"/>
    </row>
    <row r="115" spans="1:6" s="1" customFormat="1" x14ac:dyDescent="0.35">
      <c r="A115" s="3">
        <v>8051</v>
      </c>
      <c r="B115" t="s">
        <v>130</v>
      </c>
      <c r="C115" s="67">
        <v>-22506</v>
      </c>
      <c r="D115" s="67">
        <v>-11193</v>
      </c>
      <c r="E115" s="18">
        <v>-46703.98</v>
      </c>
      <c r="F115" s="61">
        <v>-11193</v>
      </c>
    </row>
    <row r="116" spans="1:6" s="1" customFormat="1" x14ac:dyDescent="0.35">
      <c r="A116" s="3">
        <v>8079</v>
      </c>
      <c r="B116" t="s">
        <v>177</v>
      </c>
      <c r="C116" s="67"/>
      <c r="D116" s="67"/>
      <c r="E116" s="18"/>
      <c r="F116" s="61">
        <v>-4915</v>
      </c>
    </row>
    <row r="117" spans="1:6" x14ac:dyDescent="0.35">
      <c r="A117" s="3">
        <v>8141</v>
      </c>
      <c r="B117" t="s">
        <v>212</v>
      </c>
      <c r="C117" s="67"/>
      <c r="D117" s="67"/>
      <c r="E117" s="18"/>
      <c r="F117" s="61">
        <v>161.69</v>
      </c>
    </row>
    <row r="118" spans="1:6" x14ac:dyDescent="0.35">
      <c r="A118" s="3">
        <v>8151</v>
      </c>
      <c r="B118" t="s">
        <v>28</v>
      </c>
      <c r="C118" s="67"/>
      <c r="D118" s="67"/>
      <c r="E118" s="18">
        <v>0</v>
      </c>
      <c r="F118" s="61">
        <v>-71</v>
      </c>
    </row>
    <row r="119" spans="1:6" x14ac:dyDescent="0.35">
      <c r="A119" s="3">
        <v>8154</v>
      </c>
      <c r="B119" t="s">
        <v>213</v>
      </c>
      <c r="C119" s="67">
        <v>-54393.52</v>
      </c>
      <c r="D119" s="67"/>
      <c r="E119" s="18">
        <v>-54393.52</v>
      </c>
      <c r="F119" s="61"/>
    </row>
    <row r="120" spans="1:6" x14ac:dyDescent="0.35">
      <c r="A120" s="3">
        <v>8155</v>
      </c>
      <c r="B120" t="s">
        <v>11</v>
      </c>
      <c r="C120" s="67">
        <v>139.5</v>
      </c>
      <c r="D120" s="67">
        <v>127</v>
      </c>
      <c r="E120" s="18">
        <v>516.36</v>
      </c>
      <c r="F120" s="61">
        <v>1225.1300000000001</v>
      </c>
    </row>
    <row r="121" spans="1:6" ht="15" thickBot="1" x14ac:dyDescent="0.4">
      <c r="A121" s="3">
        <v>8160</v>
      </c>
      <c r="B121" t="s">
        <v>178</v>
      </c>
      <c r="C121" s="67"/>
      <c r="D121" s="67"/>
      <c r="E121" s="18">
        <v>67.86</v>
      </c>
      <c r="F121" s="61"/>
    </row>
    <row r="122" spans="1:6" s="1" customFormat="1" x14ac:dyDescent="0.35">
      <c r="A122" s="54" t="s">
        <v>34</v>
      </c>
      <c r="B122" s="56"/>
      <c r="C122" s="97">
        <f t="shared" ref="C122:F122" si="13">SUM(C115:C116)+SUM(C117:C121)</f>
        <v>-76760.01999999999</v>
      </c>
      <c r="D122" s="97">
        <f t="shared" si="13"/>
        <v>-11066</v>
      </c>
      <c r="E122" s="36">
        <f t="shared" si="13"/>
        <v>-100513.28</v>
      </c>
      <c r="F122" s="146">
        <f t="shared" si="13"/>
        <v>-14792.18</v>
      </c>
    </row>
    <row r="123" spans="1:6" x14ac:dyDescent="0.35">
      <c r="A123" s="3"/>
      <c r="C123" s="12"/>
      <c r="D123" s="12"/>
      <c r="E123" s="5"/>
      <c r="F123" s="16"/>
    </row>
    <row r="124" spans="1:6" s="1" customFormat="1" ht="15" thickBot="1" x14ac:dyDescent="0.4">
      <c r="A124" s="27" t="s">
        <v>86</v>
      </c>
      <c r="B124" s="17"/>
      <c r="C124" s="140">
        <f t="shared" ref="C124:F124" si="14">C40-C112-C122</f>
        <v>58640.451700000063</v>
      </c>
      <c r="D124" s="140">
        <f t="shared" si="14"/>
        <v>382370.44240000006</v>
      </c>
      <c r="E124" s="63">
        <f t="shared" si="14"/>
        <v>527418.985099999</v>
      </c>
      <c r="F124" s="152">
        <f t="shared" si="14"/>
        <v>232686.30590000033</v>
      </c>
    </row>
    <row r="125" spans="1:6" x14ac:dyDescent="0.35">
      <c r="A125" s="3"/>
      <c r="C125" s="12"/>
      <c r="D125" s="12"/>
      <c r="E125" s="5"/>
      <c r="F125" s="16"/>
    </row>
    <row r="126" spans="1:6" s="1" customFormat="1" ht="15" thickBot="1" x14ac:dyDescent="0.4">
      <c r="A126" s="7" t="s">
        <v>49</v>
      </c>
      <c r="C126" s="35"/>
      <c r="D126" s="35"/>
      <c r="E126" s="15"/>
      <c r="F126" s="44"/>
    </row>
    <row r="127" spans="1:6" x14ac:dyDescent="0.35">
      <c r="A127" s="57" t="s">
        <v>87</v>
      </c>
      <c r="B127" s="53"/>
      <c r="C127" s="97">
        <f t="shared" ref="C127:F127" si="15">SUM(0)</f>
        <v>0</v>
      </c>
      <c r="D127" s="97">
        <f t="shared" si="15"/>
        <v>0</v>
      </c>
      <c r="E127" s="176">
        <f t="shared" si="15"/>
        <v>0</v>
      </c>
      <c r="F127" s="160">
        <f t="shared" si="15"/>
        <v>0</v>
      </c>
    </row>
    <row r="128" spans="1:6" x14ac:dyDescent="0.35">
      <c r="A128" s="3"/>
      <c r="C128" s="12"/>
      <c r="D128" s="12"/>
      <c r="E128" s="5"/>
      <c r="F128" s="16"/>
    </row>
    <row r="129" spans="1:6" s="1" customFormat="1" ht="15" thickBot="1" x14ac:dyDescent="0.4">
      <c r="A129" s="60" t="s">
        <v>147</v>
      </c>
      <c r="B129" s="59"/>
      <c r="C129" s="118">
        <f t="shared" ref="C129:F129" si="16">C124-C127</f>
        <v>58640.451700000063</v>
      </c>
      <c r="D129" s="118">
        <f t="shared" si="16"/>
        <v>382370.44240000006</v>
      </c>
      <c r="E129" s="72">
        <f t="shared" si="16"/>
        <v>527418.985099999</v>
      </c>
      <c r="F129" s="172">
        <f t="shared" si="16"/>
        <v>232686.30590000033</v>
      </c>
    </row>
    <row r="130" spans="1:6" ht="15" thickTop="1" x14ac:dyDescent="0.35"/>
    <row r="255" spans="2:2" hidden="1" x14ac:dyDescent="0.35"/>
    <row r="256" spans="2:2" hidden="1" x14ac:dyDescent="0.35">
      <c r="B256" t="str">
        <f>VLOOKUP(RIGHT(202411,2),MANED2,2,FALSE)&amp;" - "</f>
        <v xml:space="preserve">November - </v>
      </c>
    </row>
    <row r="257" spans="1:2" hidden="1" x14ac:dyDescent="0.35">
      <c r="B257" t="str">
        <f>VLOOKUP(RIGHT(202412,2),MANED2,2,FALSE)&amp;"  "&amp;LEFT(202412,4)</f>
        <v>Desember  2024</v>
      </c>
    </row>
    <row r="258" spans="1:2" hidden="1" x14ac:dyDescent="0.35"/>
    <row r="259" spans="1:2" hidden="1" x14ac:dyDescent="0.35"/>
    <row r="260" spans="1:2" hidden="1" x14ac:dyDescent="0.35"/>
    <row r="261" spans="1:2" hidden="1" x14ac:dyDescent="0.35">
      <c r="A261" s="46" t="s">
        <v>66</v>
      </c>
      <c r="B261" s="45" t="s">
        <v>188</v>
      </c>
    </row>
    <row r="262" spans="1:2" hidden="1" x14ac:dyDescent="0.35">
      <c r="A262" s="46" t="s">
        <v>135</v>
      </c>
      <c r="B262" s="45" t="s">
        <v>1</v>
      </c>
    </row>
    <row r="263" spans="1:2" hidden="1" x14ac:dyDescent="0.35">
      <c r="A263" s="46" t="s">
        <v>189</v>
      </c>
      <c r="B263" s="45" t="s">
        <v>67</v>
      </c>
    </row>
    <row r="264" spans="1:2" hidden="1" x14ac:dyDescent="0.35">
      <c r="A264" s="46" t="s">
        <v>2</v>
      </c>
      <c r="B264" s="45" t="s">
        <v>20</v>
      </c>
    </row>
    <row r="265" spans="1:2" hidden="1" x14ac:dyDescent="0.35">
      <c r="A265" s="46" t="s">
        <v>68</v>
      </c>
      <c r="B265" s="45" t="s">
        <v>170</v>
      </c>
    </row>
    <row r="266" spans="1:2" hidden="1" x14ac:dyDescent="0.35">
      <c r="A266" s="46" t="s">
        <v>136</v>
      </c>
      <c r="B266" s="45" t="s">
        <v>223</v>
      </c>
    </row>
    <row r="267" spans="1:2" hidden="1" x14ac:dyDescent="0.35">
      <c r="A267" s="46" t="s">
        <v>190</v>
      </c>
      <c r="B267" s="45" t="s">
        <v>103</v>
      </c>
    </row>
    <row r="268" spans="1:2" hidden="1" x14ac:dyDescent="0.35">
      <c r="A268" s="46" t="s">
        <v>3</v>
      </c>
      <c r="B268" s="45" t="s">
        <v>104</v>
      </c>
    </row>
    <row r="269" spans="1:2" hidden="1" x14ac:dyDescent="0.35">
      <c r="A269" s="46" t="s">
        <v>69</v>
      </c>
      <c r="B269" s="45" t="s">
        <v>88</v>
      </c>
    </row>
    <row r="270" spans="1:2" hidden="1" x14ac:dyDescent="0.35">
      <c r="A270" s="46" t="s">
        <v>191</v>
      </c>
      <c r="B270" s="45" t="s">
        <v>171</v>
      </c>
    </row>
    <row r="271" spans="1:2" hidden="1" x14ac:dyDescent="0.35">
      <c r="A271" s="46" t="s">
        <v>4</v>
      </c>
      <c r="B271" s="45" t="s">
        <v>5</v>
      </c>
    </row>
    <row r="272" spans="1:2" hidden="1" x14ac:dyDescent="0.35">
      <c r="A272" s="46" t="s">
        <v>70</v>
      </c>
      <c r="B272" s="45" t="s">
        <v>105</v>
      </c>
    </row>
    <row r="273" hidden="1" x14ac:dyDescent="0.3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workbookViewId="0"/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4" width="15" customWidth="1"/>
    <col min="5" max="5" width="15" style="13" customWidth="1"/>
    <col min="6" max="9" width="15.1796875" style="13" customWidth="1"/>
  </cols>
  <sheetData>
    <row r="1" spans="1:9" x14ac:dyDescent="0.35">
      <c r="A1" t="s">
        <v>159</v>
      </c>
    </row>
    <row r="3" spans="1:9" ht="26" x14ac:dyDescent="0.6">
      <c r="A3" s="37" t="str">
        <f>_xll.OneStop.ReportPlayer.OSRFunctions.OSRGet("ThisCompany","CompanyName")</f>
        <v>[ThisCompany.CompanyName]</v>
      </c>
      <c r="F3" s="48" t="s">
        <v>89</v>
      </c>
      <c r="I3" s="40" t="s">
        <v>117</v>
      </c>
    </row>
    <row r="4" spans="1:9" ht="15.5" x14ac:dyDescent="0.35">
      <c r="F4" s="92" t="e">
        <f>CONCATENATE(B155," ",B156)</f>
        <v>#N/A</v>
      </c>
      <c r="I4" s="43">
        <f ca="1">NOW()</f>
        <v>45755.789781250001</v>
      </c>
    </row>
    <row r="5" spans="1:9" x14ac:dyDescent="0.35">
      <c r="A5" t="s">
        <v>184</v>
      </c>
    </row>
    <row r="6" spans="1:9" ht="15" thickBot="1" x14ac:dyDescent="0.4"/>
    <row r="7" spans="1:9" s="1" customFormat="1" ht="15" thickTop="1" x14ac:dyDescent="0.35">
      <c r="A7" s="47"/>
      <c r="B7" s="33"/>
      <c r="C7" s="103" t="s">
        <v>160</v>
      </c>
      <c r="D7" s="103" t="s">
        <v>160</v>
      </c>
      <c r="E7" s="52" t="s">
        <v>17</v>
      </c>
      <c r="F7" s="62" t="s">
        <v>17</v>
      </c>
      <c r="G7" s="23"/>
      <c r="H7" s="133" t="s">
        <v>18</v>
      </c>
      <c r="I7" s="23"/>
    </row>
    <row r="8" spans="1:9" s="1" customFormat="1" ht="15" thickBot="1" x14ac:dyDescent="0.4">
      <c r="A8" s="27"/>
      <c r="B8" s="17"/>
      <c r="C8" s="96" t="s">
        <v>18</v>
      </c>
      <c r="D8" s="96" t="s">
        <v>185</v>
      </c>
      <c r="E8" s="55" t="s">
        <v>18</v>
      </c>
      <c r="F8" s="76" t="s">
        <v>185</v>
      </c>
      <c r="G8" s="25" t="s">
        <v>118</v>
      </c>
      <c r="H8" s="139" t="s">
        <v>134</v>
      </c>
      <c r="I8" s="25" t="s">
        <v>118</v>
      </c>
    </row>
    <row r="9" spans="1:9" s="1" customFormat="1" x14ac:dyDescent="0.35">
      <c r="A9" s="7" t="s">
        <v>0</v>
      </c>
      <c r="C9" s="94"/>
      <c r="D9" s="94"/>
      <c r="E9" s="58"/>
      <c r="F9" s="64"/>
      <c r="G9" s="21"/>
      <c r="H9" s="111"/>
      <c r="I9" s="21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12" t="e">
        <f>-_xll.OneStop.ReportPlayer.OSRFunctions.OSRGet("Journal_SubEntry","AmtCur")</f>
        <v>#VALUE!</v>
      </c>
      <c r="D10" s="12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16" t="e">
        <f>-_xll.OneStop.ReportPlayer.OSRFunctions.OSRGet("Journal_SubEntry","AmtCur")</f>
        <v>#VALUE!</v>
      </c>
      <c r="G10" s="2" t="e">
        <f t="shared" ref="G10:G11" si="0">E10-F10</f>
        <v>#VALUE!</v>
      </c>
      <c r="H10" s="32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20" t="s">
        <v>119</v>
      </c>
      <c r="B11" s="19"/>
      <c r="C11" s="102">
        <f>SUM(_xll.OneStop.ReportPlayer.OSRFunctions.OSRRef(C10))</f>
        <v>0</v>
      </c>
      <c r="D11" s="102">
        <f>SUM(_xll.OneStop.ReportPlayer.OSRFunctions.OSRRef(D10))</f>
        <v>0</v>
      </c>
      <c r="E11" s="90">
        <f>SUM(_xll.OneStop.ReportPlayer.OSRFunctions.OSRRef(E10))</f>
        <v>0</v>
      </c>
      <c r="F11" s="99">
        <f>SUM(_xll.OneStop.ReportPlayer.OSRFunctions.OSRRef(F10))</f>
        <v>0</v>
      </c>
      <c r="G11" s="51">
        <f t="shared" si="0"/>
        <v>0</v>
      </c>
      <c r="H11" s="123">
        <f>SUM(_xll.OneStop.ReportPlayer.OSRFunctions.OSRRef(H10))</f>
        <v>0</v>
      </c>
      <c r="I11" s="51">
        <f t="shared" si="1"/>
        <v>0</v>
      </c>
    </row>
    <row r="12" spans="1:9" x14ac:dyDescent="0.35">
      <c r="A12" s="3"/>
      <c r="C12" s="12"/>
      <c r="D12" s="12"/>
      <c r="E12" s="5"/>
      <c r="F12" s="16"/>
      <c r="G12" s="2"/>
      <c r="H12" s="32"/>
      <c r="I12" s="2"/>
    </row>
    <row r="13" spans="1:9" s="1" customFormat="1" x14ac:dyDescent="0.35">
      <c r="A13" s="7" t="s">
        <v>221</v>
      </c>
      <c r="C13" s="35"/>
      <c r="D13" s="35"/>
      <c r="E13" s="15"/>
      <c r="F13" s="44"/>
      <c r="G13" s="4"/>
      <c r="H13" s="74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12" t="str">
        <f>_xll.OneStop.ReportPlayer.OSRFunctions.OSRGet("Journal_SubEntry","AmtCur")</f>
        <v>[Journal_SubEntry.AmtCur]</v>
      </c>
      <c r="D14" s="12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16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32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20" t="s">
        <v>120</v>
      </c>
      <c r="B15" s="19"/>
      <c r="C15" s="102">
        <f>SUM(_xll.OneStop.ReportPlayer.OSRFunctions.OSRRef(C14))</f>
        <v>0</v>
      </c>
      <c r="D15" s="102">
        <f>SUM(_xll.OneStop.ReportPlayer.OSRFunctions.OSRRef(D14))</f>
        <v>0</v>
      </c>
      <c r="E15" s="90">
        <f>SUM(_xll.OneStop.ReportPlayer.OSRFunctions.OSRRef(E14))</f>
        <v>0</v>
      </c>
      <c r="F15" s="99">
        <f>SUM(_xll.OneStop.ReportPlayer.OSRFunctions.OSRRef(F14))</f>
        <v>0</v>
      </c>
      <c r="G15" s="51">
        <f t="shared" si="2"/>
        <v>0</v>
      </c>
      <c r="H15" s="123">
        <f>SUM(_xll.OneStop.ReportPlayer.OSRFunctions.OSRRef(H14))</f>
        <v>0</v>
      </c>
      <c r="I15" s="51">
        <f t="shared" si="3"/>
        <v>0</v>
      </c>
    </row>
    <row r="16" spans="1:9" x14ac:dyDescent="0.35">
      <c r="A16" s="3"/>
      <c r="C16" s="12"/>
      <c r="D16" s="12"/>
      <c r="E16" s="5"/>
      <c r="F16" s="16"/>
      <c r="G16" s="2"/>
      <c r="H16" s="32"/>
      <c r="I16" s="2"/>
    </row>
    <row r="17" spans="1:9" s="1" customFormat="1" x14ac:dyDescent="0.35">
      <c r="A17" s="7" t="s">
        <v>19</v>
      </c>
      <c r="C17" s="35"/>
      <c r="D17" s="35"/>
      <c r="E17" s="15"/>
      <c r="F17" s="44"/>
      <c r="G17" s="4"/>
      <c r="H17" s="74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12" t="str">
        <f>_xll.OneStop.ReportPlayer.OSRFunctions.OSRGet("Journal_SubEntry","AmtCur")</f>
        <v>[Journal_SubEntry.AmtCur]</v>
      </c>
      <c r="D18" s="12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16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32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12" t="str">
        <f>_xll.OneStop.ReportPlayer.OSRFunctions.OSRGet("Journal_SubEntry","AmtCur")</f>
        <v>[Journal_SubEntry.AmtCur]</v>
      </c>
      <c r="D19" s="12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16" t="str">
        <f>_xll.OneStop.ReportPlayer.OSRFunctions.OSRGet("Journal_SubEntry","AmtCur")</f>
        <v>[Journal_SubEntry.AmtCur]</v>
      </c>
      <c r="G19" s="2" t="e">
        <f t="shared" si="4"/>
        <v>#VALUE!</v>
      </c>
      <c r="H19" s="32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54" t="s">
        <v>34</v>
      </c>
      <c r="B20" s="56"/>
      <c r="C20" s="101">
        <f>SUM(_xll.OneStop.ReportPlayer.OSRFunctions.OSRRef(C18))+SUM(_xll.OneStop.ReportPlayer.OSRFunctions.OSRRef(C19))</f>
        <v>0</v>
      </c>
      <c r="D20" s="101">
        <f>SUM(_xll.OneStop.ReportPlayer.OSRFunctions.OSRRef(D18))+SUM(_xll.OneStop.ReportPlayer.OSRFunctions.OSRRef(D19))</f>
        <v>0</v>
      </c>
      <c r="E20" s="105">
        <f>SUM(_xll.OneStop.ReportPlayer.OSRFunctions.OSRRef(E18))+SUM(_xll.OneStop.ReportPlayer.OSRFunctions.OSRRef(E19))</f>
        <v>0</v>
      </c>
      <c r="F20" s="175">
        <f>SUM(_xll.OneStop.ReportPlayer.OSRFunctions.OSRRef(F18))+SUM(_xll.OneStop.ReportPlayer.OSRFunctions.OSRRef(F19))</f>
        <v>0</v>
      </c>
      <c r="G20" s="73">
        <f t="shared" si="4"/>
        <v>0</v>
      </c>
      <c r="H20" s="170">
        <f>SUM(_xll.OneStop.ReportPlayer.OSRFunctions.OSRRef(H18))+SUM(_xll.OneStop.ReportPlayer.OSRFunctions.OSRRef(H19))</f>
        <v>0</v>
      </c>
      <c r="I20" s="73">
        <f t="shared" si="5"/>
        <v>0</v>
      </c>
    </row>
    <row r="21" spans="1:9" x14ac:dyDescent="0.35">
      <c r="A21" s="3"/>
      <c r="C21" s="12"/>
      <c r="D21" s="12"/>
      <c r="E21" s="5"/>
      <c r="F21" s="16"/>
      <c r="G21" s="2"/>
      <c r="H21" s="32"/>
      <c r="I21" s="2"/>
    </row>
    <row r="22" spans="1:9" s="1" customFormat="1" ht="15" thickBot="1" x14ac:dyDescent="0.4">
      <c r="A22" s="27" t="s">
        <v>86</v>
      </c>
      <c r="B22" s="17"/>
      <c r="C22" s="108">
        <f t="shared" ref="C22:F22" si="6">C11-C15-C20</f>
        <v>0</v>
      </c>
      <c r="D22" s="108">
        <f t="shared" si="6"/>
        <v>0</v>
      </c>
      <c r="E22" s="134">
        <f t="shared" si="6"/>
        <v>0</v>
      </c>
      <c r="F22" s="169">
        <f t="shared" si="6"/>
        <v>0</v>
      </c>
      <c r="G22" s="89">
        <f>E22-F22</f>
        <v>0</v>
      </c>
      <c r="H22" s="157">
        <f>H11-H15-H20</f>
        <v>0</v>
      </c>
      <c r="I22" s="89">
        <f>E22-H22</f>
        <v>0</v>
      </c>
    </row>
    <row r="23" spans="1:9" x14ac:dyDescent="0.35">
      <c r="A23" s="3"/>
      <c r="C23" s="12"/>
      <c r="D23" s="12"/>
      <c r="E23" s="5"/>
      <c r="F23" s="16"/>
      <c r="G23" s="2"/>
      <c r="H23" s="32"/>
      <c r="I23" s="2"/>
    </row>
    <row r="24" spans="1:9" s="1" customFormat="1" x14ac:dyDescent="0.35">
      <c r="A24" s="7" t="s">
        <v>49</v>
      </c>
      <c r="C24" s="35"/>
      <c r="D24" s="35"/>
      <c r="E24" s="15"/>
      <c r="F24" s="44"/>
      <c r="G24" s="4"/>
      <c r="H24" s="74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12" t="str">
        <f>_xll.OneStop.ReportPlayer.OSRFunctions.OSRGet("Journal_SubEntry","AmtCur")</f>
        <v>[Journal_SubEntry.AmtCur]</v>
      </c>
      <c r="D25" s="12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16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32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57" t="s">
        <v>87</v>
      </c>
      <c r="B26" s="53"/>
      <c r="C26" s="101">
        <f>SUM(_xll.OneStop.ReportPlayer.OSRFunctions.OSRRef(C25))</f>
        <v>0</v>
      </c>
      <c r="D26" s="101">
        <f>SUM(_xll.OneStop.ReportPlayer.OSRFunctions.OSRRef(D25))</f>
        <v>0</v>
      </c>
      <c r="E26" s="166">
        <f>SUM(_xll.OneStop.ReportPlayer.OSRFunctions.OSRRef(E25))</f>
        <v>0</v>
      </c>
      <c r="F26" s="178">
        <f>SUM(_xll.OneStop.ReportPlayer.OSRFunctions.OSRRef(F25))</f>
        <v>0</v>
      </c>
      <c r="G26" s="113">
        <f t="shared" si="7"/>
        <v>0</v>
      </c>
      <c r="H26" s="161">
        <f>SUM(_xll.OneStop.ReportPlayer.OSRFunctions.OSRRef(H25))</f>
        <v>0</v>
      </c>
      <c r="I26" s="113">
        <f t="shared" si="8"/>
        <v>0</v>
      </c>
    </row>
    <row r="27" spans="1:9" x14ac:dyDescent="0.35">
      <c r="A27" s="3"/>
      <c r="C27" s="12"/>
      <c r="D27" s="12"/>
      <c r="E27" s="5"/>
      <c r="F27" s="16"/>
      <c r="G27" s="2"/>
      <c r="H27" s="32"/>
      <c r="I27" s="2"/>
    </row>
    <row r="28" spans="1:9" s="1" customFormat="1" ht="15" thickBot="1" x14ac:dyDescent="0.4">
      <c r="A28" s="60" t="s">
        <v>147</v>
      </c>
      <c r="B28" s="59"/>
      <c r="C28" s="112">
        <f t="shared" ref="C28:F28" si="9">C22-C26</f>
        <v>0</v>
      </c>
      <c r="D28" s="112">
        <f t="shared" si="9"/>
        <v>0</v>
      </c>
      <c r="E28" s="138">
        <f t="shared" si="9"/>
        <v>0</v>
      </c>
      <c r="F28" s="149">
        <f t="shared" si="9"/>
        <v>0</v>
      </c>
      <c r="G28" s="98">
        <f>E28-F28</f>
        <v>0</v>
      </c>
      <c r="H28" s="145">
        <f>H22-H26</f>
        <v>0</v>
      </c>
      <c r="I28" s="98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VLOOKUP(RIGHT(_xll.OneStop.ReportPlayer.OSRFunctions.OSRGet("Period","PeriodId"),2),MANED2,2,FALSE)&amp;" - "</f>
        <v>#N/A</v>
      </c>
    </row>
    <row r="156" spans="1:2" hidden="1" x14ac:dyDescent="0.35">
      <c r="B156" t="e">
        <f>VLOOKUP(RIGHT(_xll.OneStop.ReportPlayer.OSRFunctions.OSRGet("Period","PeriodId"),2),MANED2,2,FALSE)&amp;"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46" t="s">
        <v>66</v>
      </c>
      <c r="B160" s="45" t="s">
        <v>188</v>
      </c>
    </row>
    <row r="161" spans="1:2" hidden="1" x14ac:dyDescent="0.35">
      <c r="A161" s="46" t="s">
        <v>135</v>
      </c>
      <c r="B161" s="45" t="s">
        <v>1</v>
      </c>
    </row>
    <row r="162" spans="1:2" hidden="1" x14ac:dyDescent="0.35">
      <c r="A162" s="46" t="s">
        <v>189</v>
      </c>
      <c r="B162" s="45" t="s">
        <v>67</v>
      </c>
    </row>
    <row r="163" spans="1:2" hidden="1" x14ac:dyDescent="0.35">
      <c r="A163" s="46" t="s">
        <v>2</v>
      </c>
      <c r="B163" s="45" t="s">
        <v>20</v>
      </c>
    </row>
    <row r="164" spans="1:2" hidden="1" x14ac:dyDescent="0.35">
      <c r="A164" s="46" t="s">
        <v>68</v>
      </c>
      <c r="B164" s="45" t="s">
        <v>170</v>
      </c>
    </row>
    <row r="165" spans="1:2" hidden="1" x14ac:dyDescent="0.35">
      <c r="A165" s="46" t="s">
        <v>136</v>
      </c>
      <c r="B165" s="45" t="s">
        <v>223</v>
      </c>
    </row>
    <row r="166" spans="1:2" hidden="1" x14ac:dyDescent="0.35">
      <c r="A166" s="46" t="s">
        <v>190</v>
      </c>
      <c r="B166" s="45" t="s">
        <v>103</v>
      </c>
    </row>
    <row r="167" spans="1:2" hidden="1" x14ac:dyDescent="0.35">
      <c r="A167" s="46" t="s">
        <v>3</v>
      </c>
      <c r="B167" s="45" t="s">
        <v>104</v>
      </c>
    </row>
    <row r="168" spans="1:2" hidden="1" x14ac:dyDescent="0.35">
      <c r="A168" s="46" t="s">
        <v>69</v>
      </c>
      <c r="B168" s="45" t="s">
        <v>88</v>
      </c>
    </row>
    <row r="169" spans="1:2" hidden="1" x14ac:dyDescent="0.35">
      <c r="A169" s="46" t="s">
        <v>191</v>
      </c>
      <c r="B169" s="45" t="s">
        <v>171</v>
      </c>
    </row>
    <row r="170" spans="1:2" hidden="1" x14ac:dyDescent="0.35">
      <c r="A170" s="46" t="s">
        <v>4</v>
      </c>
      <c r="B170" s="45" t="s">
        <v>5</v>
      </c>
    </row>
    <row r="171" spans="1:2" hidden="1" x14ac:dyDescent="0.35">
      <c r="A171" s="46" t="s">
        <v>70</v>
      </c>
      <c r="B171" s="45" t="s">
        <v>105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3"/>
  <sheetViews>
    <sheetView workbookViewId="0">
      <selection activeCell="L12" sqref="L12"/>
    </sheetView>
  </sheetViews>
  <sheetFormatPr baseColWidth="10" defaultColWidth="11.453125" defaultRowHeight="14.5" x14ac:dyDescent="0.35"/>
  <cols>
    <col min="1" max="1" width="10.26953125" customWidth="1"/>
    <col min="2" max="2" width="41.7265625" customWidth="1"/>
    <col min="3" max="3" width="14.81640625" customWidth="1"/>
    <col min="4" max="4" width="14.81640625" hidden="1" customWidth="1"/>
    <col min="5" max="5" width="15.81640625" customWidth="1"/>
    <col min="6" max="7" width="15.81640625" hidden="1" customWidth="1"/>
    <col min="8" max="9" width="15.81640625" customWidth="1"/>
  </cols>
  <sheetData>
    <row r="1" spans="1:12" x14ac:dyDescent="0.35">
      <c r="A1" t="s">
        <v>242</v>
      </c>
      <c r="E1" s="13"/>
      <c r="F1" s="13"/>
      <c r="G1" s="13"/>
      <c r="H1" s="13"/>
      <c r="I1" s="13"/>
      <c r="J1" s="13"/>
      <c r="K1" s="13"/>
    </row>
    <row r="2" spans="1:12" x14ac:dyDescent="0.35">
      <c r="E2" s="13"/>
      <c r="F2" s="13"/>
      <c r="G2" s="13"/>
      <c r="H2" s="13"/>
      <c r="I2" s="13"/>
      <c r="J2" s="13"/>
      <c r="K2" s="13"/>
    </row>
    <row r="3" spans="1:12" ht="26" x14ac:dyDescent="0.6">
      <c r="A3" s="37" t="s">
        <v>161</v>
      </c>
      <c r="C3" s="48" t="s">
        <v>220</v>
      </c>
      <c r="E3" s="13"/>
      <c r="F3" s="13"/>
      <c r="G3" s="13"/>
      <c r="I3" s="13"/>
      <c r="J3" s="13"/>
      <c r="K3" s="40"/>
    </row>
    <row r="4" spans="1:12" ht="15.5" x14ac:dyDescent="0.35">
      <c r="C4" s="92" t="str">
        <f>CONCATENATE(B227," ",B228)</f>
        <v>November -  Desember  2024</v>
      </c>
      <c r="E4" s="13"/>
      <c r="F4" s="13"/>
      <c r="G4" s="13"/>
      <c r="I4" s="13"/>
      <c r="J4" s="13"/>
      <c r="K4" s="43"/>
    </row>
    <row r="5" spans="1:12" ht="15.5" x14ac:dyDescent="0.35">
      <c r="A5" t="s">
        <v>184</v>
      </c>
      <c r="E5" s="13"/>
      <c r="F5" s="13"/>
      <c r="G5" s="13"/>
      <c r="H5" s="179" t="s">
        <v>240</v>
      </c>
      <c r="I5" s="180" t="s">
        <v>241</v>
      </c>
      <c r="J5" s="180" t="s">
        <v>241</v>
      </c>
      <c r="K5" s="180" t="s">
        <v>241</v>
      </c>
      <c r="L5" s="180" t="s">
        <v>241</v>
      </c>
    </row>
    <row r="6" spans="1:12" ht="15" thickBot="1" x14ac:dyDescent="0.4">
      <c r="E6" s="13"/>
      <c r="F6" s="13"/>
      <c r="G6" s="13"/>
      <c r="H6" s="13"/>
      <c r="I6" s="13"/>
      <c r="J6" s="13"/>
      <c r="K6" s="13"/>
    </row>
    <row r="7" spans="1:12" ht="15" thickTop="1" x14ac:dyDescent="0.35">
      <c r="A7" s="47"/>
      <c r="B7" s="33"/>
      <c r="C7" s="114">
        <v>42736</v>
      </c>
      <c r="D7" s="33" t="s">
        <v>35</v>
      </c>
      <c r="E7" s="132" t="s">
        <v>17</v>
      </c>
      <c r="F7" s="62"/>
      <c r="G7" s="62"/>
      <c r="H7" s="141" t="s">
        <v>17</v>
      </c>
      <c r="I7" s="23"/>
    </row>
    <row r="8" spans="1:12" ht="15" thickBot="1" x14ac:dyDescent="0.4">
      <c r="A8" s="27"/>
      <c r="B8" s="17"/>
      <c r="C8" s="17"/>
      <c r="D8" s="17"/>
      <c r="E8" s="124" t="s">
        <v>18</v>
      </c>
      <c r="F8" s="76" t="s">
        <v>21</v>
      </c>
      <c r="G8" s="76" t="s">
        <v>90</v>
      </c>
      <c r="H8" s="122" t="s">
        <v>185</v>
      </c>
      <c r="I8" s="25" t="s">
        <v>169</v>
      </c>
    </row>
    <row r="9" spans="1:12" x14ac:dyDescent="0.35">
      <c r="A9" s="7" t="s">
        <v>186</v>
      </c>
      <c r="B9" s="1"/>
      <c r="C9" s="1"/>
      <c r="D9" s="1"/>
      <c r="E9" s="119"/>
      <c r="F9" s="64"/>
      <c r="G9" s="64"/>
      <c r="H9" s="135"/>
      <c r="I9" s="21"/>
    </row>
    <row r="10" spans="1:12" ht="15" thickBot="1" x14ac:dyDescent="0.4">
      <c r="A10" s="3">
        <v>1200</v>
      </c>
      <c r="B10" t="s">
        <v>139</v>
      </c>
      <c r="C10" s="127">
        <v>127200.3</v>
      </c>
      <c r="D10" s="136">
        <v>-43611.48</v>
      </c>
      <c r="E10" s="131">
        <f t="shared" ref="E10:E49" si="0">C10+D10</f>
        <v>83588.820000000007</v>
      </c>
      <c r="F10" s="61">
        <v>-43611.48</v>
      </c>
      <c r="G10" s="61">
        <v>-43611.48</v>
      </c>
      <c r="H10" s="125">
        <f t="shared" ref="H10:H49" si="1">F10+G10</f>
        <v>-87222.96</v>
      </c>
      <c r="I10" s="6">
        <f t="shared" ref="I10:I49" si="2">E10-H10</f>
        <v>170811.78000000003</v>
      </c>
    </row>
    <row r="11" spans="1:12" ht="15" thickBot="1" x14ac:dyDescent="0.4">
      <c r="A11" s="3">
        <v>1240</v>
      </c>
      <c r="B11" t="s">
        <v>202</v>
      </c>
      <c r="C11" s="127">
        <v>0</v>
      </c>
      <c r="D11" s="136"/>
      <c r="E11" s="131">
        <f t="shared" si="0"/>
        <v>0</v>
      </c>
      <c r="F11" s="61"/>
      <c r="G11" s="61"/>
      <c r="H11" s="125">
        <f t="shared" si="1"/>
        <v>0</v>
      </c>
      <c r="I11" s="6">
        <f t="shared" si="2"/>
        <v>0</v>
      </c>
    </row>
    <row r="12" spans="1:12" ht="15" thickBot="1" x14ac:dyDescent="0.4">
      <c r="A12" s="3">
        <v>1250</v>
      </c>
      <c r="B12" t="s">
        <v>203</v>
      </c>
      <c r="C12" s="127">
        <v>0</v>
      </c>
      <c r="D12" s="136"/>
      <c r="E12" s="131">
        <f t="shared" si="0"/>
        <v>0</v>
      </c>
      <c r="F12" s="61">
        <v>0</v>
      </c>
      <c r="G12" s="61"/>
      <c r="H12" s="125">
        <f t="shared" si="1"/>
        <v>0</v>
      </c>
      <c r="I12" s="6">
        <f t="shared" si="2"/>
        <v>0</v>
      </c>
    </row>
    <row r="13" spans="1:12" ht="15" thickBot="1" x14ac:dyDescent="0.4">
      <c r="A13" s="3">
        <v>1251</v>
      </c>
      <c r="B13" t="s">
        <v>179</v>
      </c>
      <c r="C13" s="127">
        <v>0</v>
      </c>
      <c r="D13" s="136"/>
      <c r="E13" s="131">
        <f t="shared" si="0"/>
        <v>0</v>
      </c>
      <c r="F13" s="61">
        <v>0</v>
      </c>
      <c r="G13" s="61"/>
      <c r="H13" s="125">
        <f t="shared" si="1"/>
        <v>0</v>
      </c>
      <c r="I13" s="6">
        <f t="shared" si="2"/>
        <v>0</v>
      </c>
    </row>
    <row r="14" spans="1:12" ht="15" thickBot="1" x14ac:dyDescent="0.4">
      <c r="A14" s="3">
        <v>1252</v>
      </c>
      <c r="B14" t="s">
        <v>140</v>
      </c>
      <c r="C14" s="127">
        <v>0</v>
      </c>
      <c r="D14" s="136"/>
      <c r="E14" s="131">
        <f t="shared" si="0"/>
        <v>0</v>
      </c>
      <c r="F14" s="61">
        <v>0</v>
      </c>
      <c r="G14" s="61"/>
      <c r="H14" s="125">
        <f t="shared" si="1"/>
        <v>0</v>
      </c>
      <c r="I14" s="6">
        <f t="shared" si="2"/>
        <v>0</v>
      </c>
    </row>
    <row r="15" spans="1:12" ht="15" thickBot="1" x14ac:dyDescent="0.4">
      <c r="A15" s="3">
        <v>1253</v>
      </c>
      <c r="B15" t="s">
        <v>41</v>
      </c>
      <c r="C15" s="127">
        <v>0</v>
      </c>
      <c r="D15" s="136"/>
      <c r="E15" s="131">
        <f t="shared" si="0"/>
        <v>0</v>
      </c>
      <c r="F15" s="61">
        <v>0</v>
      </c>
      <c r="G15" s="61"/>
      <c r="H15" s="125">
        <f t="shared" si="1"/>
        <v>0</v>
      </c>
      <c r="I15" s="6">
        <f t="shared" si="2"/>
        <v>0</v>
      </c>
    </row>
    <row r="16" spans="1:12" ht="15" thickBot="1" x14ac:dyDescent="0.4">
      <c r="A16" s="3">
        <v>1254</v>
      </c>
      <c r="B16" t="s">
        <v>154</v>
      </c>
      <c r="C16" s="127">
        <v>0</v>
      </c>
      <c r="D16" s="136"/>
      <c r="E16" s="131">
        <f t="shared" si="0"/>
        <v>0</v>
      </c>
      <c r="F16" s="61">
        <v>0</v>
      </c>
      <c r="G16" s="61"/>
      <c r="H16" s="125">
        <f t="shared" si="1"/>
        <v>0</v>
      </c>
      <c r="I16" s="6">
        <f t="shared" si="2"/>
        <v>0</v>
      </c>
    </row>
    <row r="17" spans="1:9" ht="15" thickBot="1" x14ac:dyDescent="0.4">
      <c r="A17" s="3">
        <v>1255</v>
      </c>
      <c r="B17" t="s">
        <v>94</v>
      </c>
      <c r="C17" s="127">
        <v>0</v>
      </c>
      <c r="D17" s="136"/>
      <c r="E17" s="131">
        <f t="shared" si="0"/>
        <v>0</v>
      </c>
      <c r="F17" s="61">
        <v>0</v>
      </c>
      <c r="G17" s="61"/>
      <c r="H17" s="125">
        <f t="shared" si="1"/>
        <v>0</v>
      </c>
      <c r="I17" s="6">
        <f t="shared" si="2"/>
        <v>0</v>
      </c>
    </row>
    <row r="18" spans="1:9" ht="15" thickBot="1" x14ac:dyDescent="0.4">
      <c r="A18" s="3">
        <v>1340</v>
      </c>
      <c r="B18" t="s">
        <v>42</v>
      </c>
      <c r="C18" s="127">
        <v>10000</v>
      </c>
      <c r="D18" s="136"/>
      <c r="E18" s="131">
        <f t="shared" si="0"/>
        <v>10000</v>
      </c>
      <c r="F18" s="61"/>
      <c r="G18" s="61"/>
      <c r="H18" s="125">
        <f t="shared" si="1"/>
        <v>0</v>
      </c>
      <c r="I18" s="6">
        <f t="shared" si="2"/>
        <v>10000</v>
      </c>
    </row>
    <row r="19" spans="1:9" ht="15" thickBot="1" x14ac:dyDescent="0.4">
      <c r="A19" s="3">
        <v>1342</v>
      </c>
      <c r="B19" t="s">
        <v>214</v>
      </c>
      <c r="C19" s="127">
        <v>0</v>
      </c>
      <c r="D19" s="136"/>
      <c r="E19" s="131">
        <f t="shared" si="0"/>
        <v>0</v>
      </c>
      <c r="F19" s="61"/>
      <c r="G19" s="61"/>
      <c r="H19" s="125">
        <f t="shared" si="1"/>
        <v>0</v>
      </c>
      <c r="I19" s="6">
        <f t="shared" si="2"/>
        <v>0</v>
      </c>
    </row>
    <row r="20" spans="1:9" ht="15" thickBot="1" x14ac:dyDescent="0.4">
      <c r="A20" s="3">
        <v>1391</v>
      </c>
      <c r="B20" t="s">
        <v>114</v>
      </c>
      <c r="C20" s="127">
        <v>2178572</v>
      </c>
      <c r="D20" s="136">
        <v>-548205.62</v>
      </c>
      <c r="E20" s="131">
        <f t="shared" si="0"/>
        <v>1630366.38</v>
      </c>
      <c r="F20" s="61">
        <v>2614286</v>
      </c>
      <c r="G20" s="61">
        <v>-435714</v>
      </c>
      <c r="H20" s="125">
        <f t="shared" si="1"/>
        <v>2178572</v>
      </c>
      <c r="I20" s="6">
        <f t="shared" si="2"/>
        <v>-548205.62000000011</v>
      </c>
    </row>
    <row r="21" spans="1:9" ht="15" thickBot="1" x14ac:dyDescent="0.4">
      <c r="A21" s="3">
        <v>1499</v>
      </c>
      <c r="B21" t="s">
        <v>43</v>
      </c>
      <c r="C21" s="127">
        <v>0</v>
      </c>
      <c r="D21" s="136"/>
      <c r="E21" s="131">
        <f t="shared" si="0"/>
        <v>0</v>
      </c>
      <c r="F21" s="61">
        <v>-13000</v>
      </c>
      <c r="G21" s="61"/>
      <c r="H21" s="125">
        <f t="shared" si="1"/>
        <v>-13000</v>
      </c>
      <c r="I21" s="6">
        <f t="shared" si="2"/>
        <v>13000</v>
      </c>
    </row>
    <row r="22" spans="1:9" ht="15" thickBot="1" x14ac:dyDescent="0.4">
      <c r="A22" s="3">
        <v>1500</v>
      </c>
      <c r="B22" t="s">
        <v>82</v>
      </c>
      <c r="C22" s="127">
        <v>96922</v>
      </c>
      <c r="D22" s="136">
        <v>-31775</v>
      </c>
      <c r="E22" s="131">
        <f t="shared" si="0"/>
        <v>65147</v>
      </c>
      <c r="F22" s="61">
        <v>-244520</v>
      </c>
      <c r="G22" s="61">
        <v>1892</v>
      </c>
      <c r="H22" s="125">
        <f t="shared" si="1"/>
        <v>-242628</v>
      </c>
      <c r="I22" s="6">
        <f t="shared" si="2"/>
        <v>307775</v>
      </c>
    </row>
    <row r="23" spans="1:9" ht="15" thickBot="1" x14ac:dyDescent="0.4">
      <c r="A23" s="3">
        <v>1530</v>
      </c>
      <c r="B23" t="s">
        <v>44</v>
      </c>
      <c r="C23" s="127">
        <v>0</v>
      </c>
      <c r="D23" s="136"/>
      <c r="E23" s="131">
        <f t="shared" si="0"/>
        <v>0</v>
      </c>
      <c r="F23" s="61"/>
      <c r="G23" s="61"/>
      <c r="H23" s="125">
        <f t="shared" si="1"/>
        <v>0</v>
      </c>
      <c r="I23" s="6">
        <f t="shared" si="2"/>
        <v>0</v>
      </c>
    </row>
    <row r="24" spans="1:9" ht="15" thickBot="1" x14ac:dyDescent="0.4">
      <c r="A24" s="3">
        <v>1541</v>
      </c>
      <c r="B24" t="s">
        <v>141</v>
      </c>
      <c r="C24" s="127">
        <v>447.49</v>
      </c>
      <c r="D24" s="136">
        <v>8525.84</v>
      </c>
      <c r="E24" s="131">
        <f t="shared" si="0"/>
        <v>8973.33</v>
      </c>
      <c r="F24" s="61">
        <v>1009.58</v>
      </c>
      <c r="G24" s="61">
        <v>-562.09</v>
      </c>
      <c r="H24" s="125">
        <f t="shared" si="1"/>
        <v>447.49</v>
      </c>
      <c r="I24" s="6">
        <f t="shared" si="2"/>
        <v>8525.84</v>
      </c>
    </row>
    <row r="25" spans="1:9" ht="15" thickBot="1" x14ac:dyDescent="0.4">
      <c r="A25" s="3">
        <v>1542</v>
      </c>
      <c r="B25" t="s">
        <v>226</v>
      </c>
      <c r="C25" s="127">
        <v>0</v>
      </c>
      <c r="D25" s="136"/>
      <c r="E25" s="131">
        <f t="shared" si="0"/>
        <v>0</v>
      </c>
      <c r="F25" s="61"/>
      <c r="G25" s="61"/>
      <c r="H25" s="125">
        <f t="shared" si="1"/>
        <v>0</v>
      </c>
      <c r="I25" s="6">
        <f t="shared" si="2"/>
        <v>0</v>
      </c>
    </row>
    <row r="26" spans="1:9" ht="15" thickBot="1" x14ac:dyDescent="0.4">
      <c r="A26" s="3">
        <v>1543</v>
      </c>
      <c r="B26" t="s">
        <v>12</v>
      </c>
      <c r="C26" s="127">
        <v>0</v>
      </c>
      <c r="D26" s="136"/>
      <c r="E26" s="131">
        <f t="shared" si="0"/>
        <v>0</v>
      </c>
      <c r="F26" s="61">
        <v>0</v>
      </c>
      <c r="G26" s="61"/>
      <c r="H26" s="125">
        <f t="shared" si="1"/>
        <v>0</v>
      </c>
      <c r="I26" s="6">
        <f t="shared" si="2"/>
        <v>0</v>
      </c>
    </row>
    <row r="27" spans="1:9" ht="15" thickBot="1" x14ac:dyDescent="0.4">
      <c r="A27" s="3">
        <v>1544</v>
      </c>
      <c r="B27" t="s">
        <v>142</v>
      </c>
      <c r="C27" s="127">
        <v>50051.09</v>
      </c>
      <c r="D27" s="136">
        <v>-33830.15</v>
      </c>
      <c r="E27" s="131">
        <f t="shared" si="0"/>
        <v>16220.939999999995</v>
      </c>
      <c r="F27" s="61">
        <v>66141.59</v>
      </c>
      <c r="G27" s="61">
        <v>-16090.5</v>
      </c>
      <c r="H27" s="125">
        <f t="shared" si="1"/>
        <v>50051.09</v>
      </c>
      <c r="I27" s="6">
        <f t="shared" si="2"/>
        <v>-33830.15</v>
      </c>
    </row>
    <row r="28" spans="1:9" ht="15" thickBot="1" x14ac:dyDescent="0.4">
      <c r="A28" s="3">
        <v>1545</v>
      </c>
      <c r="B28" t="s">
        <v>227</v>
      </c>
      <c r="C28" s="127">
        <v>0</v>
      </c>
      <c r="D28" s="136">
        <v>0</v>
      </c>
      <c r="E28" s="131">
        <f t="shared" si="0"/>
        <v>0</v>
      </c>
      <c r="F28" s="61">
        <v>0</v>
      </c>
      <c r="G28" s="61">
        <v>0</v>
      </c>
      <c r="H28" s="125">
        <f t="shared" si="1"/>
        <v>0</v>
      </c>
      <c r="I28" s="6">
        <f t="shared" si="2"/>
        <v>0</v>
      </c>
    </row>
    <row r="29" spans="1:9" ht="15" thickBot="1" x14ac:dyDescent="0.4">
      <c r="A29" s="3">
        <v>1561</v>
      </c>
      <c r="B29" t="s">
        <v>131</v>
      </c>
      <c r="C29" s="127"/>
      <c r="D29" s="136">
        <v>-69304</v>
      </c>
      <c r="E29" s="131">
        <f t="shared" si="0"/>
        <v>-69304</v>
      </c>
      <c r="F29" s="61"/>
      <c r="G29" s="61"/>
      <c r="H29" s="125">
        <f t="shared" si="1"/>
        <v>0</v>
      </c>
      <c r="I29" s="6">
        <f t="shared" si="2"/>
        <v>-69304</v>
      </c>
    </row>
    <row r="30" spans="1:9" ht="15" thickBot="1" x14ac:dyDescent="0.4">
      <c r="A30" s="3">
        <v>1562</v>
      </c>
      <c r="B30" t="s">
        <v>95</v>
      </c>
      <c r="C30" s="127"/>
      <c r="D30" s="136">
        <v>73711</v>
      </c>
      <c r="E30" s="131">
        <f t="shared" si="0"/>
        <v>73711</v>
      </c>
      <c r="F30" s="61"/>
      <c r="G30" s="61"/>
      <c r="H30" s="125">
        <f t="shared" si="1"/>
        <v>0</v>
      </c>
      <c r="I30" s="6">
        <f t="shared" si="2"/>
        <v>73711</v>
      </c>
    </row>
    <row r="31" spans="1:9" ht="15" thickBot="1" x14ac:dyDescent="0.4">
      <c r="A31" s="3">
        <v>1563</v>
      </c>
      <c r="B31" t="s">
        <v>83</v>
      </c>
      <c r="C31" s="127"/>
      <c r="D31" s="136">
        <v>-4407</v>
      </c>
      <c r="E31" s="131">
        <f t="shared" si="0"/>
        <v>-4407</v>
      </c>
      <c r="F31" s="61"/>
      <c r="G31" s="61"/>
      <c r="H31" s="125">
        <f t="shared" si="1"/>
        <v>0</v>
      </c>
      <c r="I31" s="6">
        <f t="shared" si="2"/>
        <v>-4407</v>
      </c>
    </row>
    <row r="32" spans="1:9" ht="15" thickBot="1" x14ac:dyDescent="0.4">
      <c r="A32" s="3">
        <v>1565</v>
      </c>
      <c r="B32" t="s">
        <v>215</v>
      </c>
      <c r="C32" s="127">
        <v>0</v>
      </c>
      <c r="D32" s="136"/>
      <c r="E32" s="131">
        <f t="shared" si="0"/>
        <v>0</v>
      </c>
      <c r="F32" s="61"/>
      <c r="G32" s="61"/>
      <c r="H32" s="125">
        <f t="shared" si="1"/>
        <v>0</v>
      </c>
      <c r="I32" s="6">
        <f t="shared" si="2"/>
        <v>0</v>
      </c>
    </row>
    <row r="33" spans="1:9" ht="15" thickBot="1" x14ac:dyDescent="0.4">
      <c r="A33" s="3">
        <v>1570</v>
      </c>
      <c r="B33" t="s">
        <v>132</v>
      </c>
      <c r="C33" s="127">
        <v>830110</v>
      </c>
      <c r="D33" s="136">
        <v>-830110</v>
      </c>
      <c r="E33" s="131">
        <f t="shared" si="0"/>
        <v>0</v>
      </c>
      <c r="F33" s="61">
        <v>790000</v>
      </c>
      <c r="G33" s="61">
        <v>40110</v>
      </c>
      <c r="H33" s="125">
        <f t="shared" si="1"/>
        <v>830110</v>
      </c>
      <c r="I33" s="6">
        <f t="shared" si="2"/>
        <v>-830110</v>
      </c>
    </row>
    <row r="34" spans="1:9" ht="15" thickBot="1" x14ac:dyDescent="0.4">
      <c r="A34" s="3">
        <v>1572</v>
      </c>
      <c r="B34" t="s">
        <v>133</v>
      </c>
      <c r="C34" s="127">
        <v>0</v>
      </c>
      <c r="D34" s="136">
        <v>0</v>
      </c>
      <c r="E34" s="131">
        <f t="shared" si="0"/>
        <v>0</v>
      </c>
      <c r="F34" s="61"/>
      <c r="G34" s="61"/>
      <c r="H34" s="125">
        <f t="shared" si="1"/>
        <v>0</v>
      </c>
      <c r="I34" s="6">
        <f t="shared" si="2"/>
        <v>0</v>
      </c>
    </row>
    <row r="35" spans="1:9" ht="15" thickBot="1" x14ac:dyDescent="0.4">
      <c r="A35" s="3">
        <v>1594</v>
      </c>
      <c r="B35" t="s">
        <v>167</v>
      </c>
      <c r="C35" s="127">
        <v>0</v>
      </c>
      <c r="D35" s="136"/>
      <c r="E35" s="131">
        <f t="shared" si="0"/>
        <v>0</v>
      </c>
      <c r="F35" s="61"/>
      <c r="G35" s="61"/>
      <c r="H35" s="125">
        <f t="shared" si="1"/>
        <v>0</v>
      </c>
      <c r="I35" s="6">
        <f t="shared" si="2"/>
        <v>0</v>
      </c>
    </row>
    <row r="36" spans="1:9" ht="15" thickBot="1" x14ac:dyDescent="0.4">
      <c r="A36" s="3">
        <v>1640</v>
      </c>
      <c r="B36" t="s">
        <v>180</v>
      </c>
      <c r="C36" s="127">
        <v>62810</v>
      </c>
      <c r="D36" s="136">
        <v>-56862</v>
      </c>
      <c r="E36" s="131">
        <f t="shared" si="0"/>
        <v>5948</v>
      </c>
      <c r="F36" s="61">
        <v>-16838</v>
      </c>
      <c r="G36" s="61">
        <v>62810</v>
      </c>
      <c r="H36" s="125">
        <f t="shared" si="1"/>
        <v>45972</v>
      </c>
      <c r="I36" s="6">
        <f t="shared" si="2"/>
        <v>-40024</v>
      </c>
    </row>
    <row r="37" spans="1:9" ht="15" thickBot="1" x14ac:dyDescent="0.4">
      <c r="A37" s="3">
        <v>1743</v>
      </c>
      <c r="B37" t="s">
        <v>216</v>
      </c>
      <c r="C37" s="127">
        <v>4030.5045</v>
      </c>
      <c r="D37" s="136">
        <v>229.54300000000001</v>
      </c>
      <c r="E37" s="131">
        <f t="shared" si="0"/>
        <v>4260.0474999999997</v>
      </c>
      <c r="F37" s="61">
        <v>3813.5837000000001</v>
      </c>
      <c r="G37" s="61">
        <v>216.96039999999999</v>
      </c>
      <c r="H37" s="125">
        <f t="shared" si="1"/>
        <v>4030.5441000000001</v>
      </c>
      <c r="I37" s="6">
        <f t="shared" si="2"/>
        <v>229.5033999999996</v>
      </c>
    </row>
    <row r="38" spans="1:9" ht="15" thickBot="1" x14ac:dyDescent="0.4">
      <c r="A38" s="3">
        <v>1745</v>
      </c>
      <c r="B38" t="s">
        <v>204</v>
      </c>
      <c r="C38" s="127">
        <v>49500</v>
      </c>
      <c r="D38" s="136">
        <v>-49500</v>
      </c>
      <c r="E38" s="131">
        <f t="shared" si="0"/>
        <v>0</v>
      </c>
      <c r="F38" s="61"/>
      <c r="G38" s="61">
        <v>49500</v>
      </c>
      <c r="H38" s="125">
        <f t="shared" si="1"/>
        <v>49500</v>
      </c>
      <c r="I38" s="6">
        <f t="shared" si="2"/>
        <v>-49500</v>
      </c>
    </row>
    <row r="39" spans="1:9" ht="15" thickBot="1" x14ac:dyDescent="0.4">
      <c r="A39" s="3">
        <v>1900</v>
      </c>
      <c r="B39" t="s">
        <v>13</v>
      </c>
      <c r="C39" s="127">
        <v>0</v>
      </c>
      <c r="D39" s="136"/>
      <c r="E39" s="131">
        <f t="shared" si="0"/>
        <v>0</v>
      </c>
      <c r="F39" s="61">
        <v>0</v>
      </c>
      <c r="G39" s="61"/>
      <c r="H39" s="125">
        <f t="shared" si="1"/>
        <v>0</v>
      </c>
      <c r="I39" s="6">
        <f t="shared" si="2"/>
        <v>0</v>
      </c>
    </row>
    <row r="40" spans="1:9" ht="15" thickBot="1" x14ac:dyDescent="0.4">
      <c r="A40" s="3">
        <v>1901</v>
      </c>
      <c r="B40" t="s">
        <v>217</v>
      </c>
      <c r="C40" s="127">
        <v>0</v>
      </c>
      <c r="D40" s="136"/>
      <c r="E40" s="131">
        <f t="shared" si="0"/>
        <v>0</v>
      </c>
      <c r="F40" s="61"/>
      <c r="G40" s="61"/>
      <c r="H40" s="125">
        <f t="shared" si="1"/>
        <v>0</v>
      </c>
      <c r="I40" s="6">
        <f t="shared" si="2"/>
        <v>0</v>
      </c>
    </row>
    <row r="41" spans="1:9" ht="15" thickBot="1" x14ac:dyDescent="0.4">
      <c r="A41" s="3">
        <v>1909</v>
      </c>
      <c r="B41" t="s">
        <v>14</v>
      </c>
      <c r="C41" s="127">
        <v>0</v>
      </c>
      <c r="D41" s="136"/>
      <c r="E41" s="131">
        <f t="shared" si="0"/>
        <v>0</v>
      </c>
      <c r="F41" s="61"/>
      <c r="G41" s="61"/>
      <c r="H41" s="125">
        <f t="shared" si="1"/>
        <v>0</v>
      </c>
      <c r="I41" s="6">
        <f t="shared" si="2"/>
        <v>0</v>
      </c>
    </row>
    <row r="42" spans="1:9" ht="15" thickBot="1" x14ac:dyDescent="0.4">
      <c r="A42" s="3">
        <v>1920</v>
      </c>
      <c r="B42" t="s">
        <v>84</v>
      </c>
      <c r="C42" s="127">
        <v>0</v>
      </c>
      <c r="D42" s="136">
        <v>0</v>
      </c>
      <c r="E42" s="131">
        <f t="shared" si="0"/>
        <v>0</v>
      </c>
      <c r="F42" s="61">
        <v>0</v>
      </c>
      <c r="G42" s="61">
        <v>0</v>
      </c>
      <c r="H42" s="125">
        <f t="shared" si="1"/>
        <v>0</v>
      </c>
      <c r="I42" s="6">
        <f t="shared" si="2"/>
        <v>0</v>
      </c>
    </row>
    <row r="43" spans="1:9" ht="15" thickBot="1" x14ac:dyDescent="0.4">
      <c r="A43" s="3">
        <v>1921</v>
      </c>
      <c r="B43" t="s">
        <v>96</v>
      </c>
      <c r="C43" s="127">
        <v>524990.31999999995</v>
      </c>
      <c r="D43" s="136">
        <v>279432.52</v>
      </c>
      <c r="E43" s="131">
        <f t="shared" si="0"/>
        <v>804422.84</v>
      </c>
      <c r="F43" s="61">
        <v>88582.82</v>
      </c>
      <c r="G43" s="61">
        <v>-73901.88</v>
      </c>
      <c r="H43" s="125">
        <f t="shared" si="1"/>
        <v>14680.940000000002</v>
      </c>
      <c r="I43" s="6">
        <f t="shared" si="2"/>
        <v>789741.89999999991</v>
      </c>
    </row>
    <row r="44" spans="1:9" ht="15" thickBot="1" x14ac:dyDescent="0.4">
      <c r="A44" s="3">
        <v>1923</v>
      </c>
      <c r="B44" t="s">
        <v>155</v>
      </c>
      <c r="C44" s="127">
        <v>1476146.83</v>
      </c>
      <c r="D44" s="136">
        <v>401643.34</v>
      </c>
      <c r="E44" s="131">
        <f t="shared" si="0"/>
        <v>1877790.1700000002</v>
      </c>
      <c r="F44" s="61">
        <v>72357.03</v>
      </c>
      <c r="G44" s="61">
        <v>232142.54</v>
      </c>
      <c r="H44" s="125">
        <f t="shared" si="1"/>
        <v>304499.57</v>
      </c>
      <c r="I44" s="6">
        <f t="shared" si="2"/>
        <v>1573290.6</v>
      </c>
    </row>
    <row r="45" spans="1:9" ht="15" thickBot="1" x14ac:dyDescent="0.4">
      <c r="A45" s="3">
        <v>1925</v>
      </c>
      <c r="B45" t="s">
        <v>97</v>
      </c>
      <c r="C45" s="127">
        <v>479662.53</v>
      </c>
      <c r="D45" s="136">
        <v>747967.84</v>
      </c>
      <c r="E45" s="131">
        <f t="shared" si="0"/>
        <v>1227630.3700000001</v>
      </c>
      <c r="F45" s="61">
        <v>400061.25</v>
      </c>
      <c r="G45" s="61">
        <v>-1354847.1</v>
      </c>
      <c r="H45" s="125">
        <f t="shared" si="1"/>
        <v>-954785.85000000009</v>
      </c>
      <c r="I45" s="6">
        <f t="shared" si="2"/>
        <v>2182416.2200000002</v>
      </c>
    </row>
    <row r="46" spans="1:9" ht="15" thickBot="1" x14ac:dyDescent="0.4">
      <c r="A46" s="3">
        <v>1927</v>
      </c>
      <c r="B46" t="s">
        <v>98</v>
      </c>
      <c r="C46" s="127">
        <v>1170808.9099999999</v>
      </c>
      <c r="D46" s="136">
        <v>478591.5</v>
      </c>
      <c r="E46" s="131">
        <f t="shared" si="0"/>
        <v>1649400.41</v>
      </c>
      <c r="F46" s="61">
        <v>1446605.56</v>
      </c>
      <c r="G46" s="61">
        <v>-700000</v>
      </c>
      <c r="H46" s="125">
        <f t="shared" si="1"/>
        <v>746605.56</v>
      </c>
      <c r="I46" s="6">
        <f t="shared" si="2"/>
        <v>902794.84999999986</v>
      </c>
    </row>
    <row r="47" spans="1:9" ht="15" thickBot="1" x14ac:dyDescent="0.4">
      <c r="A47" s="3">
        <v>1931</v>
      </c>
      <c r="B47" t="s">
        <v>45</v>
      </c>
      <c r="C47" s="127">
        <v>40008.199999999997</v>
      </c>
      <c r="D47" s="136">
        <v>38</v>
      </c>
      <c r="E47" s="131">
        <f t="shared" si="0"/>
        <v>40046.199999999997</v>
      </c>
      <c r="F47" s="61">
        <v>-5118</v>
      </c>
      <c r="G47" s="61">
        <v>-4966</v>
      </c>
      <c r="H47" s="125">
        <f t="shared" si="1"/>
        <v>-10084</v>
      </c>
      <c r="I47" s="6">
        <f t="shared" si="2"/>
        <v>50130.2</v>
      </c>
    </row>
    <row r="48" spans="1:9" ht="15" thickBot="1" x14ac:dyDescent="0.4">
      <c r="A48" s="3">
        <v>1936</v>
      </c>
      <c r="B48" t="s">
        <v>29</v>
      </c>
      <c r="C48" s="127">
        <v>0</v>
      </c>
      <c r="D48" s="136"/>
      <c r="E48" s="131">
        <f t="shared" si="0"/>
        <v>0</v>
      </c>
      <c r="F48" s="61"/>
      <c r="G48" s="61"/>
      <c r="H48" s="125">
        <f t="shared" si="1"/>
        <v>0</v>
      </c>
      <c r="I48" s="6">
        <f t="shared" si="2"/>
        <v>0</v>
      </c>
    </row>
    <row r="49" spans="1:9" ht="15" thickBot="1" x14ac:dyDescent="0.4">
      <c r="A49" s="3">
        <v>1950</v>
      </c>
      <c r="B49" t="s">
        <v>63</v>
      </c>
      <c r="C49" s="127">
        <v>1.07</v>
      </c>
      <c r="D49" s="136">
        <v>0</v>
      </c>
      <c r="E49" s="131">
        <f t="shared" si="0"/>
        <v>1.07</v>
      </c>
      <c r="F49" s="61">
        <v>0</v>
      </c>
      <c r="G49" s="61">
        <v>-5</v>
      </c>
      <c r="H49" s="125">
        <f t="shared" si="1"/>
        <v>-5</v>
      </c>
      <c r="I49" s="6">
        <f t="shared" si="2"/>
        <v>6.07</v>
      </c>
    </row>
    <row r="50" spans="1:9" ht="15" thickBot="1" x14ac:dyDescent="0.4">
      <c r="A50" s="20" t="s">
        <v>50</v>
      </c>
      <c r="B50" s="19"/>
      <c r="C50" s="143">
        <f>SUM(C9)+SUM(C10:C49)</f>
        <v>7101261.2445</v>
      </c>
      <c r="D50" s="156"/>
      <c r="E50" s="144">
        <f>SUM(E10:E49)</f>
        <v>7423795.5775000006</v>
      </c>
      <c r="F50" s="93"/>
      <c r="G50" s="93"/>
      <c r="H50" s="165">
        <f>SUM(H10:H49)</f>
        <v>2916743.3840999999</v>
      </c>
      <c r="I50" s="14">
        <f>E50-H50</f>
        <v>4507052.1934000012</v>
      </c>
    </row>
    <row r="51" spans="1:9" x14ac:dyDescent="0.35">
      <c r="A51" s="3"/>
      <c r="E51" s="100"/>
      <c r="F51" s="16"/>
      <c r="G51" s="16"/>
      <c r="H51" s="91"/>
      <c r="I51" s="2"/>
    </row>
    <row r="52" spans="1:9" x14ac:dyDescent="0.35">
      <c r="A52" s="7" t="s">
        <v>222</v>
      </c>
      <c r="B52" s="1"/>
      <c r="C52" s="1"/>
      <c r="D52" s="1"/>
      <c r="E52" s="120"/>
      <c r="F52" s="44"/>
      <c r="G52" s="44"/>
      <c r="H52" s="117"/>
      <c r="I52" s="4"/>
    </row>
    <row r="53" spans="1:9" x14ac:dyDescent="0.35">
      <c r="A53" s="3">
        <v>2050</v>
      </c>
      <c r="B53" t="s">
        <v>15</v>
      </c>
      <c r="C53" s="127">
        <v>-4440871.29</v>
      </c>
      <c r="D53" s="136">
        <v>-527418.68000000005</v>
      </c>
      <c r="E53" s="131">
        <f t="shared" ref="E53:E87" si="3">C53+D53</f>
        <v>-4968289.97</v>
      </c>
      <c r="F53" s="61">
        <v>-533943.19999999995</v>
      </c>
      <c r="G53" s="61">
        <v>-232686</v>
      </c>
      <c r="H53" s="125">
        <f t="shared" ref="H53:H87" si="4">F53+G53</f>
        <v>-766629.2</v>
      </c>
      <c r="I53" s="6">
        <f t="shared" ref="I53:I87" si="5">E53-H53</f>
        <v>-4201660.7699999996</v>
      </c>
    </row>
    <row r="54" spans="1:9" x14ac:dyDescent="0.35">
      <c r="A54" s="3">
        <v>2220</v>
      </c>
      <c r="B54" t="s">
        <v>228</v>
      </c>
      <c r="C54" s="127">
        <v>-2178572</v>
      </c>
      <c r="D54" s="136">
        <v>548205.62</v>
      </c>
      <c r="E54" s="131">
        <f t="shared" si="3"/>
        <v>-1630366.38</v>
      </c>
      <c r="F54" s="61">
        <v>-2614286</v>
      </c>
      <c r="G54" s="61">
        <v>435714</v>
      </c>
      <c r="H54" s="125">
        <f t="shared" si="4"/>
        <v>-2178572</v>
      </c>
      <c r="I54" s="6">
        <f t="shared" si="5"/>
        <v>548205.62000000011</v>
      </c>
    </row>
    <row r="55" spans="1:9" x14ac:dyDescent="0.35">
      <c r="A55" s="3">
        <v>2399</v>
      </c>
      <c r="B55" t="s">
        <v>156</v>
      </c>
      <c r="C55" s="127">
        <v>0</v>
      </c>
      <c r="D55" s="136"/>
      <c r="E55" s="131">
        <f t="shared" si="3"/>
        <v>0</v>
      </c>
      <c r="F55" s="61"/>
      <c r="G55" s="61"/>
      <c r="H55" s="125">
        <f t="shared" si="4"/>
        <v>0</v>
      </c>
      <c r="I55" s="6">
        <f t="shared" si="5"/>
        <v>0</v>
      </c>
    </row>
    <row r="56" spans="1:9" x14ac:dyDescent="0.35">
      <c r="A56" s="3">
        <v>2400</v>
      </c>
      <c r="B56" t="s">
        <v>181</v>
      </c>
      <c r="C56" s="127">
        <v>-418889.15</v>
      </c>
      <c r="D56" s="136">
        <v>-245688.18</v>
      </c>
      <c r="E56" s="131">
        <f t="shared" si="3"/>
        <v>-664577.33000000007</v>
      </c>
      <c r="F56" s="61">
        <v>-2251236.23</v>
      </c>
      <c r="G56" s="61">
        <v>1889591.5</v>
      </c>
      <c r="H56" s="125">
        <f t="shared" si="4"/>
        <v>-361644.73</v>
      </c>
      <c r="I56" s="6">
        <f t="shared" si="5"/>
        <v>-302932.60000000009</v>
      </c>
    </row>
    <row r="57" spans="1:9" x14ac:dyDescent="0.35">
      <c r="A57" s="3">
        <v>2600</v>
      </c>
      <c r="B57" t="s">
        <v>99</v>
      </c>
      <c r="C57" s="127">
        <v>0</v>
      </c>
      <c r="D57" s="136">
        <v>0</v>
      </c>
      <c r="E57" s="131">
        <f t="shared" si="3"/>
        <v>0</v>
      </c>
      <c r="F57" s="61">
        <v>0</v>
      </c>
      <c r="G57" s="61">
        <v>0</v>
      </c>
      <c r="H57" s="125">
        <f t="shared" si="4"/>
        <v>0</v>
      </c>
      <c r="I57" s="6">
        <f t="shared" si="5"/>
        <v>0</v>
      </c>
    </row>
    <row r="58" spans="1:9" x14ac:dyDescent="0.35">
      <c r="A58" s="3">
        <v>2601</v>
      </c>
      <c r="B58" t="s">
        <v>30</v>
      </c>
      <c r="C58" s="127">
        <v>0</v>
      </c>
      <c r="D58" s="136">
        <v>0</v>
      </c>
      <c r="E58" s="131">
        <f t="shared" si="3"/>
        <v>0</v>
      </c>
      <c r="F58" s="61"/>
      <c r="G58" s="61">
        <v>0</v>
      </c>
      <c r="H58" s="125">
        <f t="shared" si="4"/>
        <v>0</v>
      </c>
      <c r="I58" s="6">
        <f t="shared" si="5"/>
        <v>0</v>
      </c>
    </row>
    <row r="59" spans="1:9" x14ac:dyDescent="0.35">
      <c r="A59" s="3">
        <v>2700</v>
      </c>
      <c r="B59" t="s">
        <v>236</v>
      </c>
      <c r="C59" s="127">
        <v>0</v>
      </c>
      <c r="D59" s="136">
        <v>0</v>
      </c>
      <c r="E59" s="131">
        <f t="shared" si="3"/>
        <v>0</v>
      </c>
      <c r="F59" s="61">
        <v>0</v>
      </c>
      <c r="G59" s="61">
        <v>0</v>
      </c>
      <c r="H59" s="125">
        <f t="shared" si="4"/>
        <v>0</v>
      </c>
      <c r="I59" s="6">
        <f t="shared" si="5"/>
        <v>0</v>
      </c>
    </row>
    <row r="60" spans="1:9" x14ac:dyDescent="0.35">
      <c r="A60" s="3">
        <v>2702</v>
      </c>
      <c r="B60" t="s">
        <v>46</v>
      </c>
      <c r="C60" s="127">
        <v>-1E-4</v>
      </c>
      <c r="D60" s="136">
        <v>0</v>
      </c>
      <c r="E60" s="131">
        <f t="shared" si="3"/>
        <v>-1E-4</v>
      </c>
      <c r="F60" s="61">
        <v>0</v>
      </c>
      <c r="G60" s="61">
        <v>0</v>
      </c>
      <c r="H60" s="125">
        <f t="shared" si="4"/>
        <v>0</v>
      </c>
      <c r="I60" s="6">
        <f t="shared" si="5"/>
        <v>-1E-4</v>
      </c>
    </row>
    <row r="61" spans="1:9" x14ac:dyDescent="0.35">
      <c r="A61" s="3">
        <v>2705</v>
      </c>
      <c r="B61" t="s">
        <v>157</v>
      </c>
      <c r="C61" s="127"/>
      <c r="D61" s="136">
        <v>0</v>
      </c>
      <c r="E61" s="131">
        <f t="shared" si="3"/>
        <v>0</v>
      </c>
      <c r="F61" s="61"/>
      <c r="G61" s="61"/>
      <c r="H61" s="125">
        <f t="shared" si="4"/>
        <v>0</v>
      </c>
      <c r="I61" s="6">
        <f t="shared" si="5"/>
        <v>0</v>
      </c>
    </row>
    <row r="62" spans="1:9" x14ac:dyDescent="0.35">
      <c r="A62" s="3">
        <v>2710</v>
      </c>
      <c r="B62" t="s">
        <v>100</v>
      </c>
      <c r="C62" s="127">
        <v>0</v>
      </c>
      <c r="D62" s="136">
        <v>0</v>
      </c>
      <c r="E62" s="131">
        <f t="shared" si="3"/>
        <v>0</v>
      </c>
      <c r="F62" s="61">
        <v>0</v>
      </c>
      <c r="G62" s="61">
        <v>0</v>
      </c>
      <c r="H62" s="125">
        <f t="shared" si="4"/>
        <v>0</v>
      </c>
      <c r="I62" s="6">
        <f t="shared" si="5"/>
        <v>0</v>
      </c>
    </row>
    <row r="63" spans="1:9" x14ac:dyDescent="0.35">
      <c r="A63" s="3">
        <v>2711</v>
      </c>
      <c r="B63" t="s">
        <v>205</v>
      </c>
      <c r="C63" s="127">
        <v>0</v>
      </c>
      <c r="D63" s="136"/>
      <c r="E63" s="131">
        <f t="shared" si="3"/>
        <v>0</v>
      </c>
      <c r="F63" s="61">
        <v>0</v>
      </c>
      <c r="G63" s="61"/>
      <c r="H63" s="125">
        <f t="shared" si="4"/>
        <v>0</v>
      </c>
      <c r="I63" s="6">
        <f t="shared" si="5"/>
        <v>0</v>
      </c>
    </row>
    <row r="64" spans="1:9" x14ac:dyDescent="0.35">
      <c r="A64" s="3">
        <v>2713</v>
      </c>
      <c r="B64" t="s">
        <v>143</v>
      </c>
      <c r="C64" s="127">
        <v>0</v>
      </c>
      <c r="D64" s="136"/>
      <c r="E64" s="131">
        <f t="shared" si="3"/>
        <v>0</v>
      </c>
      <c r="F64" s="61"/>
      <c r="G64" s="61"/>
      <c r="H64" s="125">
        <f t="shared" si="4"/>
        <v>0</v>
      </c>
      <c r="I64" s="6">
        <f t="shared" si="5"/>
        <v>0</v>
      </c>
    </row>
    <row r="65" spans="1:9" x14ac:dyDescent="0.35">
      <c r="A65" s="3">
        <v>2715</v>
      </c>
      <c r="B65" t="s">
        <v>115</v>
      </c>
      <c r="C65" s="127"/>
      <c r="D65" s="136">
        <v>0</v>
      </c>
      <c r="E65" s="131">
        <f t="shared" si="3"/>
        <v>0</v>
      </c>
      <c r="F65" s="61"/>
      <c r="G65" s="61"/>
      <c r="H65" s="125">
        <f t="shared" si="4"/>
        <v>0</v>
      </c>
      <c r="I65" s="6">
        <f t="shared" si="5"/>
        <v>0</v>
      </c>
    </row>
    <row r="66" spans="1:9" x14ac:dyDescent="0.35">
      <c r="A66" s="3">
        <v>2740</v>
      </c>
      <c r="B66" t="s">
        <v>16</v>
      </c>
      <c r="C66" s="127">
        <v>1E-4</v>
      </c>
      <c r="D66" s="136">
        <v>0</v>
      </c>
      <c r="E66" s="131">
        <f t="shared" si="3"/>
        <v>1E-4</v>
      </c>
      <c r="F66" s="61">
        <v>-101518</v>
      </c>
      <c r="G66" s="61">
        <v>101518</v>
      </c>
      <c r="H66" s="125">
        <f t="shared" si="4"/>
        <v>0</v>
      </c>
      <c r="I66" s="6">
        <f t="shared" si="5"/>
        <v>1E-4</v>
      </c>
    </row>
    <row r="67" spans="1:9" x14ac:dyDescent="0.35">
      <c r="A67" s="3">
        <v>2741</v>
      </c>
      <c r="B67" t="s">
        <v>229</v>
      </c>
      <c r="C67" s="127">
        <v>0</v>
      </c>
      <c r="D67" s="136"/>
      <c r="E67" s="131">
        <f t="shared" si="3"/>
        <v>0</v>
      </c>
      <c r="F67" s="61"/>
      <c r="G67" s="61"/>
      <c r="H67" s="125">
        <f t="shared" si="4"/>
        <v>0</v>
      </c>
      <c r="I67" s="6">
        <f t="shared" si="5"/>
        <v>0</v>
      </c>
    </row>
    <row r="68" spans="1:9" x14ac:dyDescent="0.35">
      <c r="A68" s="3">
        <v>2770</v>
      </c>
      <c r="B68" t="s">
        <v>85</v>
      </c>
      <c r="C68" s="127">
        <v>0</v>
      </c>
      <c r="D68" s="136"/>
      <c r="E68" s="131">
        <f t="shared" si="3"/>
        <v>0</v>
      </c>
      <c r="F68" s="61"/>
      <c r="G68" s="61"/>
      <c r="H68" s="125">
        <f t="shared" si="4"/>
        <v>0</v>
      </c>
      <c r="I68" s="6">
        <f t="shared" si="5"/>
        <v>0</v>
      </c>
    </row>
    <row r="69" spans="1:9" x14ac:dyDescent="0.35">
      <c r="A69" s="3">
        <v>2771</v>
      </c>
      <c r="B69" t="s">
        <v>144</v>
      </c>
      <c r="C69" s="127">
        <v>0</v>
      </c>
      <c r="D69" s="136"/>
      <c r="E69" s="131">
        <f t="shared" si="3"/>
        <v>0</v>
      </c>
      <c r="F69" s="61"/>
      <c r="G69" s="61"/>
      <c r="H69" s="125">
        <f t="shared" si="4"/>
        <v>0</v>
      </c>
      <c r="I69" s="6">
        <f t="shared" si="5"/>
        <v>0</v>
      </c>
    </row>
    <row r="70" spans="1:9" x14ac:dyDescent="0.35">
      <c r="A70" s="3">
        <v>2785</v>
      </c>
      <c r="B70" t="s">
        <v>47</v>
      </c>
      <c r="C70" s="127">
        <v>0</v>
      </c>
      <c r="D70" s="136"/>
      <c r="E70" s="131">
        <f t="shared" si="3"/>
        <v>0</v>
      </c>
      <c r="F70" s="61"/>
      <c r="G70" s="61"/>
      <c r="H70" s="125">
        <f t="shared" si="4"/>
        <v>0</v>
      </c>
      <c r="I70" s="6">
        <f t="shared" si="5"/>
        <v>0</v>
      </c>
    </row>
    <row r="71" spans="1:9" x14ac:dyDescent="0.35">
      <c r="A71" s="3">
        <v>2900</v>
      </c>
      <c r="B71" t="s">
        <v>101</v>
      </c>
      <c r="C71" s="127">
        <v>0</v>
      </c>
      <c r="D71" s="136">
        <v>-8228</v>
      </c>
      <c r="E71" s="131">
        <f t="shared" si="3"/>
        <v>-8228</v>
      </c>
      <c r="F71" s="61">
        <v>-74754.460000000006</v>
      </c>
      <c r="G71" s="61">
        <v>87754.46</v>
      </c>
      <c r="H71" s="125">
        <f t="shared" si="4"/>
        <v>13000</v>
      </c>
      <c r="I71" s="6">
        <f t="shared" si="5"/>
        <v>-21228</v>
      </c>
    </row>
    <row r="72" spans="1:9" x14ac:dyDescent="0.35">
      <c r="A72" s="3">
        <v>2905</v>
      </c>
      <c r="B72" t="s">
        <v>116</v>
      </c>
      <c r="C72" s="127">
        <v>-41261</v>
      </c>
      <c r="D72" s="136">
        <v>-78588</v>
      </c>
      <c r="E72" s="131">
        <f t="shared" si="3"/>
        <v>-119849</v>
      </c>
      <c r="F72" s="61"/>
      <c r="G72" s="61">
        <v>-41261</v>
      </c>
      <c r="H72" s="125">
        <f t="shared" si="4"/>
        <v>-41261</v>
      </c>
      <c r="I72" s="6">
        <f t="shared" si="5"/>
        <v>-78588</v>
      </c>
    </row>
    <row r="73" spans="1:9" x14ac:dyDescent="0.35">
      <c r="A73" s="3">
        <v>2920</v>
      </c>
      <c r="B73" t="s">
        <v>182</v>
      </c>
      <c r="C73" s="127">
        <v>0</v>
      </c>
      <c r="D73" s="136"/>
      <c r="E73" s="131">
        <f t="shared" si="3"/>
        <v>0</v>
      </c>
      <c r="F73" s="61">
        <v>0</v>
      </c>
      <c r="G73" s="61"/>
      <c r="H73" s="125">
        <f t="shared" si="4"/>
        <v>0</v>
      </c>
      <c r="I73" s="6">
        <f t="shared" si="5"/>
        <v>0</v>
      </c>
    </row>
    <row r="74" spans="1:9" x14ac:dyDescent="0.35">
      <c r="A74" s="3">
        <v>2930</v>
      </c>
      <c r="B74" t="s">
        <v>237</v>
      </c>
      <c r="C74" s="127">
        <v>0</v>
      </c>
      <c r="D74" s="136">
        <v>0</v>
      </c>
      <c r="E74" s="131">
        <f t="shared" si="3"/>
        <v>0</v>
      </c>
      <c r="F74" s="61">
        <v>-0.5</v>
      </c>
      <c r="G74" s="61">
        <v>0.5</v>
      </c>
      <c r="H74" s="125">
        <f t="shared" si="4"/>
        <v>0</v>
      </c>
      <c r="I74" s="6">
        <f t="shared" si="5"/>
        <v>0</v>
      </c>
    </row>
    <row r="75" spans="1:9" x14ac:dyDescent="0.35">
      <c r="A75" s="3">
        <v>2940</v>
      </c>
      <c r="B75" t="s">
        <v>64</v>
      </c>
      <c r="C75" s="127">
        <v>-11667.53</v>
      </c>
      <c r="D75" s="136">
        <v>-10817.06</v>
      </c>
      <c r="E75" s="131">
        <f t="shared" si="3"/>
        <v>-22484.59</v>
      </c>
      <c r="F75" s="61">
        <v>-7458.97</v>
      </c>
      <c r="G75" s="61">
        <v>-1597.56</v>
      </c>
      <c r="H75" s="125">
        <f t="shared" si="4"/>
        <v>-9056.5300000000007</v>
      </c>
      <c r="I75" s="6">
        <f t="shared" si="5"/>
        <v>-13428.06</v>
      </c>
    </row>
    <row r="76" spans="1:9" x14ac:dyDescent="0.35">
      <c r="A76" s="3">
        <v>2941</v>
      </c>
      <c r="B76" t="s">
        <v>48</v>
      </c>
      <c r="C76" s="127">
        <v>0</v>
      </c>
      <c r="D76" s="136"/>
      <c r="E76" s="131">
        <f t="shared" si="3"/>
        <v>0</v>
      </c>
      <c r="F76" s="61"/>
      <c r="G76" s="61"/>
      <c r="H76" s="125">
        <f t="shared" si="4"/>
        <v>0</v>
      </c>
      <c r="I76" s="6">
        <f t="shared" si="5"/>
        <v>0</v>
      </c>
    </row>
    <row r="77" spans="1:9" x14ac:dyDescent="0.35">
      <c r="A77" s="3">
        <v>2945</v>
      </c>
      <c r="B77" t="s">
        <v>145</v>
      </c>
      <c r="C77" s="127">
        <v>0</v>
      </c>
      <c r="D77" s="136"/>
      <c r="E77" s="131">
        <f t="shared" si="3"/>
        <v>0</v>
      </c>
      <c r="F77" s="61"/>
      <c r="G77" s="61">
        <v>0</v>
      </c>
      <c r="H77" s="125">
        <f t="shared" si="4"/>
        <v>0</v>
      </c>
      <c r="I77" s="6">
        <f t="shared" si="5"/>
        <v>0</v>
      </c>
    </row>
    <row r="78" spans="1:9" x14ac:dyDescent="0.35">
      <c r="A78" s="3">
        <v>2960</v>
      </c>
      <c r="B78" t="s">
        <v>218</v>
      </c>
      <c r="C78" s="127">
        <v>0</v>
      </c>
      <c r="D78" s="136"/>
      <c r="E78" s="131">
        <f t="shared" si="3"/>
        <v>0</v>
      </c>
      <c r="F78" s="61">
        <v>-3993</v>
      </c>
      <c r="G78" s="61">
        <v>3993</v>
      </c>
      <c r="H78" s="125">
        <f t="shared" si="4"/>
        <v>0</v>
      </c>
      <c r="I78" s="6">
        <f t="shared" si="5"/>
        <v>0</v>
      </c>
    </row>
    <row r="79" spans="1:9" x14ac:dyDescent="0.35">
      <c r="A79" s="3">
        <v>2990</v>
      </c>
      <c r="B79" t="s">
        <v>31</v>
      </c>
      <c r="C79" s="127">
        <v>-10000</v>
      </c>
      <c r="D79" s="136"/>
      <c r="E79" s="131">
        <f t="shared" si="3"/>
        <v>-10000</v>
      </c>
      <c r="F79" s="61"/>
      <c r="G79" s="61"/>
      <c r="H79" s="125">
        <f t="shared" si="4"/>
        <v>0</v>
      </c>
      <c r="I79" s="6">
        <f t="shared" si="5"/>
        <v>-10000</v>
      </c>
    </row>
    <row r="80" spans="1:9" x14ac:dyDescent="0.35">
      <c r="A80" s="3">
        <v>2991</v>
      </c>
      <c r="B80" t="s">
        <v>65</v>
      </c>
      <c r="C80" s="127">
        <v>0</v>
      </c>
      <c r="D80" s="136">
        <v>0</v>
      </c>
      <c r="E80" s="131">
        <f t="shared" si="3"/>
        <v>0</v>
      </c>
      <c r="F80" s="61"/>
      <c r="G80" s="61"/>
      <c r="H80" s="125">
        <f t="shared" si="4"/>
        <v>0</v>
      </c>
      <c r="I80" s="6">
        <f t="shared" si="5"/>
        <v>0</v>
      </c>
    </row>
    <row r="81" spans="1:9" x14ac:dyDescent="0.35">
      <c r="A81" s="3">
        <v>2992</v>
      </c>
      <c r="B81" t="s">
        <v>32</v>
      </c>
      <c r="C81" s="127">
        <v>0</v>
      </c>
      <c r="D81" s="136"/>
      <c r="E81" s="131">
        <f t="shared" si="3"/>
        <v>0</v>
      </c>
      <c r="F81" s="61"/>
      <c r="G81" s="61"/>
      <c r="H81" s="125">
        <f t="shared" si="4"/>
        <v>0</v>
      </c>
      <c r="I81" s="6">
        <f t="shared" si="5"/>
        <v>0</v>
      </c>
    </row>
    <row r="82" spans="1:9" x14ac:dyDescent="0.35">
      <c r="A82" s="3">
        <v>2993</v>
      </c>
      <c r="B82" t="s">
        <v>219</v>
      </c>
      <c r="C82" s="127">
        <v>0</v>
      </c>
      <c r="D82" s="136"/>
      <c r="E82" s="131">
        <f t="shared" si="3"/>
        <v>0</v>
      </c>
      <c r="F82" s="61"/>
      <c r="G82" s="61"/>
      <c r="H82" s="125">
        <f t="shared" si="4"/>
        <v>0</v>
      </c>
      <c r="I82" s="6">
        <f t="shared" si="5"/>
        <v>0</v>
      </c>
    </row>
    <row r="83" spans="1:9" x14ac:dyDescent="0.35">
      <c r="A83" s="3">
        <v>2994</v>
      </c>
      <c r="B83" t="s">
        <v>167</v>
      </c>
      <c r="C83" s="127">
        <v>0</v>
      </c>
      <c r="D83" s="136"/>
      <c r="E83" s="131">
        <f t="shared" si="3"/>
        <v>0</v>
      </c>
      <c r="F83" s="61"/>
      <c r="G83" s="61"/>
      <c r="H83" s="125">
        <f t="shared" si="4"/>
        <v>0</v>
      </c>
      <c r="I83" s="6">
        <f t="shared" si="5"/>
        <v>0</v>
      </c>
    </row>
    <row r="84" spans="1:9" x14ac:dyDescent="0.35">
      <c r="A84" s="3">
        <v>2995</v>
      </c>
      <c r="B84" t="s">
        <v>183</v>
      </c>
      <c r="C84" s="127">
        <v>0</v>
      </c>
      <c r="D84" s="136">
        <v>0</v>
      </c>
      <c r="E84" s="131">
        <f t="shared" si="3"/>
        <v>0</v>
      </c>
      <c r="F84" s="61"/>
      <c r="G84" s="61"/>
      <c r="H84" s="125">
        <f t="shared" si="4"/>
        <v>0</v>
      </c>
      <c r="I84" s="6">
        <f t="shared" si="5"/>
        <v>0</v>
      </c>
    </row>
    <row r="85" spans="1:9" x14ac:dyDescent="0.35">
      <c r="A85" s="3">
        <v>2996</v>
      </c>
      <c r="B85" t="s">
        <v>238</v>
      </c>
      <c r="C85" s="127">
        <v>0</v>
      </c>
      <c r="D85" s="136"/>
      <c r="E85" s="131">
        <f t="shared" si="3"/>
        <v>0</v>
      </c>
      <c r="F85" s="61">
        <v>427420</v>
      </c>
      <c r="G85" s="61"/>
      <c r="H85" s="125">
        <f t="shared" si="4"/>
        <v>427420</v>
      </c>
      <c r="I85" s="6">
        <f t="shared" si="5"/>
        <v>-427420</v>
      </c>
    </row>
    <row r="86" spans="1:9" x14ac:dyDescent="0.35">
      <c r="A86" s="3">
        <v>2997</v>
      </c>
      <c r="B86" t="s">
        <v>102</v>
      </c>
      <c r="C86" s="127">
        <v>0</v>
      </c>
      <c r="D86" s="136"/>
      <c r="E86" s="131">
        <f t="shared" si="3"/>
        <v>0</v>
      </c>
      <c r="F86" s="61"/>
      <c r="G86" s="61"/>
      <c r="H86" s="125">
        <f t="shared" si="4"/>
        <v>0</v>
      </c>
      <c r="I86" s="6">
        <f t="shared" si="5"/>
        <v>0</v>
      </c>
    </row>
    <row r="87" spans="1:9" x14ac:dyDescent="0.35">
      <c r="A87" s="3">
        <v>2998</v>
      </c>
      <c r="B87" t="s">
        <v>146</v>
      </c>
      <c r="C87" s="127">
        <v>0</v>
      </c>
      <c r="D87" s="136"/>
      <c r="E87" s="131">
        <f t="shared" si="3"/>
        <v>0</v>
      </c>
      <c r="F87" s="61"/>
      <c r="G87" s="61"/>
      <c r="H87" s="125">
        <f t="shared" si="4"/>
        <v>0</v>
      </c>
      <c r="I87" s="6">
        <f t="shared" si="5"/>
        <v>0</v>
      </c>
    </row>
    <row r="88" spans="1:9" ht="15" thickBot="1" x14ac:dyDescent="0.4">
      <c r="A88" s="3"/>
      <c r="B88" t="s">
        <v>187</v>
      </c>
      <c r="D88">
        <v>1.49E-2</v>
      </c>
      <c r="E88" s="131">
        <f>D88</f>
        <v>1.49E-2</v>
      </c>
      <c r="F88" s="61"/>
      <c r="G88" s="61">
        <v>-0.30590000000000001</v>
      </c>
      <c r="H88" s="125">
        <f>G88</f>
        <v>-0.30590000000000001</v>
      </c>
      <c r="I88" s="6">
        <f t="shared" ref="I88:I89" si="6">E88-H88</f>
        <v>0.32080000000000003</v>
      </c>
    </row>
    <row r="89" spans="1:9" ht="15" thickBot="1" x14ac:dyDescent="0.4">
      <c r="A89" s="121" t="s">
        <v>51</v>
      </c>
      <c r="B89" s="104"/>
      <c r="C89" s="128">
        <f>SUM(C53:C87)+SUM(C88)</f>
        <v>-7101260.9700000007</v>
      </c>
      <c r="D89" s="128"/>
      <c r="E89" s="173">
        <f>SUM(E53:E87)+SUM(E88)</f>
        <v>-7423795.2550999997</v>
      </c>
      <c r="F89" s="110"/>
      <c r="G89" s="110"/>
      <c r="H89" s="148">
        <f>SUM(H53:H87)+SUM(H88)</f>
        <v>-2916743.7659</v>
      </c>
      <c r="I89" s="151">
        <f t="shared" si="6"/>
        <v>-4507051.4891999997</v>
      </c>
    </row>
    <row r="90" spans="1:9" ht="15" thickTop="1" x14ac:dyDescent="0.35"/>
    <row r="227" spans="1:2" x14ac:dyDescent="0.35">
      <c r="B227" t="str">
        <f>VLOOKUP(RIGHT(202411,2),MANED4,2,FALSE)&amp;" - "</f>
        <v xml:space="preserve">November - </v>
      </c>
    </row>
    <row r="228" spans="1:2" x14ac:dyDescent="0.35">
      <c r="B228" t="str">
        <f>VLOOKUP(RIGHT(202412,2),MANED4,2,FALSE)&amp;"  "&amp;LEFT(202412,4)</f>
        <v>Desember  2024</v>
      </c>
    </row>
    <row r="232" spans="1:2" x14ac:dyDescent="0.35">
      <c r="A232" s="46" t="s">
        <v>66</v>
      </c>
      <c r="B232" s="45" t="s">
        <v>188</v>
      </c>
    </row>
    <row r="233" spans="1:2" x14ac:dyDescent="0.35">
      <c r="A233" s="46" t="s">
        <v>135</v>
      </c>
      <c r="B233" s="45" t="s">
        <v>1</v>
      </c>
    </row>
    <row r="234" spans="1:2" x14ac:dyDescent="0.35">
      <c r="A234" s="46" t="s">
        <v>189</v>
      </c>
      <c r="B234" s="45" t="s">
        <v>67</v>
      </c>
    </row>
    <row r="235" spans="1:2" x14ac:dyDescent="0.35">
      <c r="A235" s="46" t="s">
        <v>2</v>
      </c>
      <c r="B235" s="45" t="s">
        <v>20</v>
      </c>
    </row>
    <row r="236" spans="1:2" x14ac:dyDescent="0.35">
      <c r="A236" s="46" t="s">
        <v>68</v>
      </c>
      <c r="B236" s="45" t="s">
        <v>170</v>
      </c>
    </row>
    <row r="237" spans="1:2" x14ac:dyDescent="0.35">
      <c r="A237" s="46" t="s">
        <v>136</v>
      </c>
      <c r="B237" s="45" t="s">
        <v>223</v>
      </c>
    </row>
    <row r="238" spans="1:2" x14ac:dyDescent="0.35">
      <c r="A238" s="46" t="s">
        <v>190</v>
      </c>
      <c r="B238" s="45" t="s">
        <v>103</v>
      </c>
    </row>
    <row r="239" spans="1:2" x14ac:dyDescent="0.35">
      <c r="A239" s="46" t="s">
        <v>3</v>
      </c>
      <c r="B239" s="45" t="s">
        <v>104</v>
      </c>
    </row>
    <row r="240" spans="1:2" x14ac:dyDescent="0.35">
      <c r="A240" s="46" t="s">
        <v>69</v>
      </c>
      <c r="B240" s="45" t="s">
        <v>88</v>
      </c>
    </row>
    <row r="241" spans="1:2" x14ac:dyDescent="0.35">
      <c r="A241" s="46" t="s">
        <v>191</v>
      </c>
      <c r="B241" s="45" t="s">
        <v>171</v>
      </c>
    </row>
    <row r="242" spans="1:2" x14ac:dyDescent="0.35">
      <c r="A242" s="46" t="s">
        <v>4</v>
      </c>
      <c r="B242" s="45" t="s">
        <v>5</v>
      </c>
    </row>
    <row r="243" spans="1:2" x14ac:dyDescent="0.35">
      <c r="A243" s="46" t="s">
        <v>70</v>
      </c>
      <c r="B243" s="45" t="s">
        <v>105</v>
      </c>
    </row>
  </sheetData>
  <mergeCells count="1">
    <mergeCell ref="H5:L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26953125" customWidth="1"/>
    <col min="2" max="2" width="41.7265625" customWidth="1"/>
    <col min="3" max="3" width="14.81640625" customWidth="1"/>
    <col min="4" max="4" width="14.81640625" hidden="1" customWidth="1"/>
    <col min="5" max="5" width="15.81640625" customWidth="1"/>
    <col min="6" max="7" width="15.81640625" hidden="1" customWidth="1"/>
    <col min="8" max="9" width="15.81640625" customWidth="1"/>
  </cols>
  <sheetData>
    <row r="1" spans="1:11" x14ac:dyDescent="0.35">
      <c r="A1" t="s">
        <v>159</v>
      </c>
      <c r="E1" s="13"/>
      <c r="F1" s="13"/>
      <c r="G1" s="13"/>
      <c r="H1" s="13"/>
      <c r="I1" s="13"/>
      <c r="J1" s="13"/>
      <c r="K1" s="13"/>
    </row>
    <row r="2" spans="1:11" x14ac:dyDescent="0.35">
      <c r="E2" s="13"/>
      <c r="F2" s="13"/>
      <c r="G2" s="13"/>
      <c r="H2" s="13"/>
      <c r="I2" s="13"/>
      <c r="J2" s="13"/>
      <c r="K2" s="13"/>
    </row>
    <row r="3" spans="1:11" ht="26" x14ac:dyDescent="0.6">
      <c r="A3" s="37" t="str">
        <f>_xll.OneStop.ReportPlayer.OSRFunctions.OSRGet("ThisCompany","CompanyName")</f>
        <v>[ThisCompany.CompanyName]</v>
      </c>
      <c r="E3" s="13"/>
      <c r="F3" s="13"/>
      <c r="G3" s="13"/>
      <c r="H3" s="48" t="s">
        <v>220</v>
      </c>
      <c r="I3" s="13"/>
      <c r="J3" s="13"/>
      <c r="K3" s="40" t="s">
        <v>117</v>
      </c>
    </row>
    <row r="4" spans="1:11" ht="15.5" x14ac:dyDescent="0.35">
      <c r="E4" s="13"/>
      <c r="F4" s="13"/>
      <c r="G4" s="13"/>
      <c r="H4" s="92" t="e">
        <f>CONCATENATE(B154," ",B155)</f>
        <v>#N/A</v>
      </c>
      <c r="I4" s="13"/>
      <c r="J4" s="13"/>
      <c r="K4" s="43">
        <f ca="1">NOW()</f>
        <v>45755.789781250001</v>
      </c>
    </row>
    <row r="5" spans="1:11" x14ac:dyDescent="0.35">
      <c r="A5" t="s">
        <v>184</v>
      </c>
      <c r="E5" s="13"/>
      <c r="F5" s="13"/>
      <c r="G5" s="13"/>
      <c r="H5" s="13"/>
      <c r="I5" s="13"/>
      <c r="J5" s="13"/>
      <c r="K5" s="13"/>
    </row>
    <row r="6" spans="1:11" ht="15" thickBot="1" x14ac:dyDescent="0.4">
      <c r="E6" s="13"/>
      <c r="F6" s="13"/>
      <c r="G6" s="13"/>
      <c r="H6" s="13"/>
      <c r="I6" s="13"/>
      <c r="J6" s="13"/>
      <c r="K6" s="13"/>
    </row>
    <row r="7" spans="1:11" ht="15" thickTop="1" x14ac:dyDescent="0.35">
      <c r="A7" s="47"/>
      <c r="B7" s="33"/>
      <c r="C7" s="114">
        <v>42736</v>
      </c>
      <c r="D7" s="33" t="s">
        <v>35</v>
      </c>
      <c r="E7" s="132" t="s">
        <v>17</v>
      </c>
      <c r="F7" s="62"/>
      <c r="G7" s="62"/>
      <c r="H7" s="141" t="s">
        <v>17</v>
      </c>
      <c r="I7" s="23"/>
    </row>
    <row r="8" spans="1:11" ht="15" thickBot="1" x14ac:dyDescent="0.4">
      <c r="A8" s="27"/>
      <c r="B8" s="17"/>
      <c r="C8" s="17"/>
      <c r="D8" s="17"/>
      <c r="E8" s="124" t="s">
        <v>18</v>
      </c>
      <c r="F8" s="76" t="s">
        <v>21</v>
      </c>
      <c r="G8" s="76" t="s">
        <v>90</v>
      </c>
      <c r="H8" s="122" t="s">
        <v>185</v>
      </c>
      <c r="I8" s="25" t="s">
        <v>169</v>
      </c>
    </row>
    <row r="9" spans="1:11" x14ac:dyDescent="0.35">
      <c r="A9" s="7" t="s">
        <v>186</v>
      </c>
      <c r="B9" s="1"/>
      <c r="C9" s="1"/>
      <c r="D9" s="1"/>
      <c r="E9" s="119"/>
      <c r="F9" s="64"/>
      <c r="G9" s="64"/>
      <c r="H9" s="135"/>
      <c r="I9" s="21"/>
    </row>
    <row r="10" spans="1:11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130" t="str">
        <f>_xll.OneStop.ReportPlayer.OSRFunctions.OSRGet("Journal_SubEntry","AmtCur")</f>
        <v>[Journal_SubEntry.AmtCur]</v>
      </c>
      <c r="D10" t="str">
        <f>_xll.OneStop.ReportPlayer.OSRFunctions.OSRGet("Journal_SubEntry","AmtCur")</f>
        <v>[Journal_SubEntry.AmtCur]</v>
      </c>
      <c r="E10" s="100" t="e">
        <f>C10+D10</f>
        <v>#VALUE!</v>
      </c>
      <c r="F10" s="16" t="str">
        <f>_xll.OneStop.ReportPlayer.OSRFunctions.OSRGet("Journal_SubEntry","AmtCur")</f>
        <v>[Journal_SubEntry.AmtCur]</v>
      </c>
      <c r="G10" s="16" t="str">
        <f>_xll.OneStop.ReportPlayer.OSRFunctions.OSRGet("Journal_SubEntry","AmtCur")</f>
        <v>[Journal_SubEntry.AmtCur]</v>
      </c>
      <c r="H10" s="91" t="e">
        <f>F10+G10</f>
        <v>#VALUE!</v>
      </c>
      <c r="I10" s="2" t="e">
        <f t="shared" ref="I10:I11" si="0">E10-H10</f>
        <v>#VALUE!</v>
      </c>
    </row>
    <row r="11" spans="1:11" ht="15" thickBot="1" x14ac:dyDescent="0.4">
      <c r="A11" s="20" t="s">
        <v>50</v>
      </c>
      <c r="B11" s="19"/>
      <c r="C11" s="154">
        <f>SUM(_xll.OneStop.ReportPlayer.OSRFunctions.OSRRef(C9))+SUM(_xll.OneStop.ReportPlayer.OSRFunctions.OSRRef(C10))</f>
        <v>0</v>
      </c>
      <c r="D11" s="19"/>
      <c r="E11" s="163">
        <f>SUM(_xll.OneStop.ReportPlayer.OSRFunctions.OSRRef(E10))</f>
        <v>0</v>
      </c>
      <c r="F11" s="99"/>
      <c r="G11" s="99"/>
      <c r="H11" s="150">
        <f>SUM(_xll.OneStop.ReportPlayer.OSRFunctions.OSRRef(H10))</f>
        <v>0</v>
      </c>
      <c r="I11" s="51">
        <f t="shared" si="0"/>
        <v>0</v>
      </c>
    </row>
    <row r="12" spans="1:11" x14ac:dyDescent="0.35">
      <c r="A12" s="3"/>
      <c r="E12" s="100"/>
      <c r="F12" s="16"/>
      <c r="G12" s="16"/>
      <c r="H12" s="91"/>
      <c r="I12" s="2"/>
    </row>
    <row r="13" spans="1:11" x14ac:dyDescent="0.35">
      <c r="A13" s="7" t="s">
        <v>222</v>
      </c>
      <c r="B13" s="1"/>
      <c r="C13" s="1"/>
      <c r="D13" s="1"/>
      <c r="E13" s="120"/>
      <c r="F13" s="44"/>
      <c r="G13" s="44"/>
      <c r="H13" s="117"/>
      <c r="I13" s="4"/>
    </row>
    <row r="14" spans="1:11" x14ac:dyDescent="0.35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130" t="str">
        <f>_xll.OneStop.ReportPlayer.OSRFunctions.OSRGet("Journal_SubEntry","AmtCur")</f>
        <v>[Journal_SubEntry.AmtCur]</v>
      </c>
      <c r="D14" t="str">
        <f>_xll.OneStop.ReportPlayer.OSRFunctions.OSRGet("Journal_SubEntry","AmtCur")</f>
        <v>[Journal_SubEntry.AmtCur]</v>
      </c>
      <c r="E14" s="100" t="e">
        <f>C14+D14</f>
        <v>#VALUE!</v>
      </c>
      <c r="F14" s="16" t="str">
        <f>_xll.OneStop.ReportPlayer.OSRFunctions.OSRGet("Journal_SubEntry","AmtCur")</f>
        <v>[Journal_SubEntry.AmtCur]</v>
      </c>
      <c r="G14" s="16" t="str">
        <f>_xll.OneStop.ReportPlayer.OSRFunctions.OSRGet("Journal_SubEntry","AmtCur")</f>
        <v>[Journal_SubEntry.AmtCur]</v>
      </c>
      <c r="H14" s="91" t="e">
        <f>F14+G14</f>
        <v>#VALUE!</v>
      </c>
      <c r="I14" s="2" t="e">
        <f t="shared" ref="I14:I16" si="1">E14-H14</f>
        <v>#VALUE!</v>
      </c>
    </row>
    <row r="15" spans="1:11" ht="15" thickBot="1" x14ac:dyDescent="0.4">
      <c r="A15" s="3"/>
      <c r="B15" t="s">
        <v>187</v>
      </c>
      <c r="D15" t="str">
        <f>_xll.OneStop.ReportPlayer.OSRFunctions.OSRGet("Journal_SubEntry","AmtCur")</f>
        <v>[Journal_SubEntry.AmtCur]</v>
      </c>
      <c r="E15" s="100" t="str">
        <f>D15</f>
        <v>[Journal_SubEntry.AmtCur]</v>
      </c>
      <c r="F15" s="16"/>
      <c r="G15" s="16" t="str">
        <f>_xll.OneStop.ReportPlayer.OSRFunctions.OSRGet("Journal_SubEntry","AmtCur")</f>
        <v>[Journal_SubEntry.AmtCur]</v>
      </c>
      <c r="H15" s="91" t="str">
        <f>G15</f>
        <v>[Journal_SubEntry.AmtCur]</v>
      </c>
      <c r="I15" s="2" t="e">
        <f t="shared" si="1"/>
        <v>#VALUE!</v>
      </c>
    </row>
    <row r="16" spans="1:11" ht="15" thickBot="1" x14ac:dyDescent="0.4">
      <c r="A16" s="121" t="s">
        <v>51</v>
      </c>
      <c r="B16" s="104"/>
      <c r="C16" s="153">
        <f>SUM(_xll.OneStop.ReportPlayer.OSRFunctions.OSRRef(C14))+SUM(_xll.OneStop.ReportPlayer.OSRFunctions.OSRRef(C15))</f>
        <v>0</v>
      </c>
      <c r="D16" s="104"/>
      <c r="E16" s="155">
        <f>SUM(_xll.OneStop.ReportPlayer.OSRFunctions.OSRRef(E14))+SUM(_xll.OneStop.ReportPlayer.OSRFunctions.OSRRef(E15))</f>
        <v>0</v>
      </c>
      <c r="F16" s="115"/>
      <c r="G16" s="115"/>
      <c r="H16" s="164">
        <f>SUM(_xll.OneStop.ReportPlayer.OSRFunctions.OSRRef(H14))+SUM(_xll.OneStop.ReportPlayer.OSRFunctions.OSRRef(H15))</f>
        <v>0</v>
      </c>
      <c r="I16" s="168">
        <f t="shared" si="1"/>
        <v>0</v>
      </c>
    </row>
    <row r="17" ht="15" thickTop="1" x14ac:dyDescent="0.35"/>
    <row r="154" spans="1:2" x14ac:dyDescent="0.35">
      <c r="B154" t="e">
        <f>VLOOKUP(RIGHT(_xll.OneStop.ReportPlayer.OSRFunctions.OSRGet("Period","PeriodId"),2),MANED4,2,FALSE)&amp;" - "</f>
        <v>#N/A</v>
      </c>
    </row>
    <row r="155" spans="1:2" x14ac:dyDescent="0.35">
      <c r="B155" t="e">
        <f>VLOOKUP(RIGHT(_xll.OneStop.ReportPlayer.OSRFunctions.OSRGet("Period","PeriodId"),2),MANED4,2,FALSE)&amp;"  "&amp;LEFT(_xll.OneStop.ReportPlayer.OSRFunctions.OSRGet("Period","PeriodId"),4)</f>
        <v>#N/A</v>
      </c>
    </row>
    <row r="159" spans="1:2" x14ac:dyDescent="0.35">
      <c r="A159" s="46" t="s">
        <v>66</v>
      </c>
      <c r="B159" s="45" t="s">
        <v>188</v>
      </c>
    </row>
    <row r="160" spans="1:2" x14ac:dyDescent="0.35">
      <c r="A160" s="46" t="s">
        <v>135</v>
      </c>
      <c r="B160" s="45" t="s">
        <v>1</v>
      </c>
    </row>
    <row r="161" spans="1:2" x14ac:dyDescent="0.35">
      <c r="A161" s="46" t="s">
        <v>189</v>
      </c>
      <c r="B161" s="45" t="s">
        <v>67</v>
      </c>
    </row>
    <row r="162" spans="1:2" x14ac:dyDescent="0.35">
      <c r="A162" s="46" t="s">
        <v>2</v>
      </c>
      <c r="B162" s="45" t="s">
        <v>20</v>
      </c>
    </row>
    <row r="163" spans="1:2" x14ac:dyDescent="0.35">
      <c r="A163" s="46" t="s">
        <v>68</v>
      </c>
      <c r="B163" s="45" t="s">
        <v>170</v>
      </c>
    </row>
    <row r="164" spans="1:2" x14ac:dyDescent="0.35">
      <c r="A164" s="46" t="s">
        <v>136</v>
      </c>
      <c r="B164" s="45" t="s">
        <v>223</v>
      </c>
    </row>
    <row r="165" spans="1:2" x14ac:dyDescent="0.35">
      <c r="A165" s="46" t="s">
        <v>190</v>
      </c>
      <c r="B165" s="45" t="s">
        <v>103</v>
      </c>
    </row>
    <row r="166" spans="1:2" x14ac:dyDescent="0.35">
      <c r="A166" s="46" t="s">
        <v>3</v>
      </c>
      <c r="B166" s="45" t="s">
        <v>104</v>
      </c>
    </row>
    <row r="167" spans="1:2" x14ac:dyDescent="0.35">
      <c r="A167" s="46" t="s">
        <v>69</v>
      </c>
      <c r="B167" s="45" t="s">
        <v>88</v>
      </c>
    </row>
    <row r="168" spans="1:2" x14ac:dyDescent="0.35">
      <c r="A168" s="46" t="s">
        <v>191</v>
      </c>
      <c r="B168" s="45" t="s">
        <v>171</v>
      </c>
    </row>
    <row r="169" spans="1:2" x14ac:dyDescent="0.35">
      <c r="A169" s="46" t="s">
        <v>4</v>
      </c>
      <c r="B169" s="45" t="s">
        <v>5</v>
      </c>
    </row>
    <row r="170" spans="1:2" x14ac:dyDescent="0.35">
      <c r="A170" s="46" t="s">
        <v>70</v>
      </c>
      <c r="B170" s="45" t="s">
        <v>105</v>
      </c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5"/>
  <sheetViews>
    <sheetView topLeftCell="A82" workbookViewId="0">
      <selection activeCell="G1" sqref="G1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3" customWidth="1"/>
    <col min="6" max="6" width="15.1796875" style="13" customWidth="1"/>
  </cols>
  <sheetData>
    <row r="1" spans="1:9" x14ac:dyDescent="0.35">
      <c r="A1" t="s">
        <v>242</v>
      </c>
    </row>
    <row r="3" spans="1:9" ht="26" x14ac:dyDescent="0.6">
      <c r="A3" s="37" t="s">
        <v>161</v>
      </c>
      <c r="C3" s="48" t="s">
        <v>220</v>
      </c>
    </row>
    <row r="4" spans="1:9" ht="15.5" x14ac:dyDescent="0.35">
      <c r="A4" t="s">
        <v>52</v>
      </c>
      <c r="C4" s="82" t="str">
        <f>CONCATENATE(B218," ",B219)</f>
        <v>November -  Desember  2024</v>
      </c>
    </row>
    <row r="5" spans="1:9" ht="15.5" x14ac:dyDescent="0.35">
      <c r="A5" s="1">
        <v>2</v>
      </c>
      <c r="B5" s="1" t="s">
        <v>168</v>
      </c>
      <c r="C5" s="1"/>
      <c r="D5" s="1"/>
      <c r="E5" s="179" t="s">
        <v>240</v>
      </c>
      <c r="F5" s="180" t="s">
        <v>241</v>
      </c>
      <c r="G5" s="180" t="s">
        <v>241</v>
      </c>
      <c r="H5" s="180" t="s">
        <v>241</v>
      </c>
      <c r="I5" s="180" t="s">
        <v>241</v>
      </c>
    </row>
    <row r="6" spans="1:9" ht="15" thickBot="1" x14ac:dyDescent="0.4"/>
    <row r="7" spans="1:9" s="1" customFormat="1" ht="15" thickTop="1" x14ac:dyDescent="0.35">
      <c r="A7" s="47"/>
      <c r="B7" s="33"/>
      <c r="C7" s="66" t="s">
        <v>160</v>
      </c>
      <c r="D7" s="71" t="s">
        <v>160</v>
      </c>
      <c r="E7" s="52" t="s">
        <v>17</v>
      </c>
      <c r="F7" s="81" t="s">
        <v>17</v>
      </c>
    </row>
    <row r="8" spans="1:9" s="1" customFormat="1" ht="15" thickBot="1" x14ac:dyDescent="0.4">
      <c r="A8" s="27"/>
      <c r="B8" s="17"/>
      <c r="C8" s="77" t="s">
        <v>18</v>
      </c>
      <c r="D8" s="79" t="s">
        <v>185</v>
      </c>
      <c r="E8" s="55" t="s">
        <v>18</v>
      </c>
      <c r="F8" s="80" t="s">
        <v>185</v>
      </c>
    </row>
    <row r="9" spans="1:9" s="1" customFormat="1" x14ac:dyDescent="0.35">
      <c r="A9" s="7" t="s">
        <v>0</v>
      </c>
      <c r="C9" s="70"/>
      <c r="D9" s="78"/>
      <c r="E9" s="58"/>
      <c r="F9" s="69"/>
    </row>
    <row r="10" spans="1:9" x14ac:dyDescent="0.35">
      <c r="A10" s="3">
        <v>3005</v>
      </c>
      <c r="B10" t="s">
        <v>172</v>
      </c>
      <c r="C10" s="29">
        <f t="shared" ref="C10:D11" si="0">0</f>
        <v>0</v>
      </c>
      <c r="D10" s="30">
        <f t="shared" si="0"/>
        <v>0</v>
      </c>
      <c r="E10" s="18">
        <f>--63428.57</f>
        <v>63428.57</v>
      </c>
      <c r="F10" s="31">
        <f>--20000</f>
        <v>20000</v>
      </c>
    </row>
    <row r="11" spans="1:9" x14ac:dyDescent="0.35">
      <c r="A11" s="3">
        <v>3006</v>
      </c>
      <c r="B11" t="s">
        <v>22</v>
      </c>
      <c r="C11" s="29">
        <f t="shared" si="0"/>
        <v>0</v>
      </c>
      <c r="D11" s="30">
        <f t="shared" si="0"/>
        <v>0</v>
      </c>
      <c r="E11" s="18">
        <f>--72643.2</f>
        <v>72643.199999999997</v>
      </c>
      <c r="F11" s="31">
        <f>0</f>
        <v>0</v>
      </c>
    </row>
    <row r="12" spans="1:9" x14ac:dyDescent="0.35">
      <c r="A12" s="3">
        <v>3020</v>
      </c>
      <c r="B12" t="s">
        <v>207</v>
      </c>
      <c r="C12" s="29">
        <f>--120000</f>
        <v>120000</v>
      </c>
      <c r="D12" s="30">
        <f>--27500</f>
        <v>27500</v>
      </c>
      <c r="E12" s="18">
        <f>--156800</f>
        <v>156800</v>
      </c>
      <c r="F12" s="31">
        <f>--45500</f>
        <v>45500</v>
      </c>
    </row>
    <row r="13" spans="1:9" x14ac:dyDescent="0.35">
      <c r="A13" s="3">
        <v>3051</v>
      </c>
      <c r="B13" t="s">
        <v>71</v>
      </c>
      <c r="C13" s="29">
        <f>--423455.3571</f>
        <v>423455.35710000002</v>
      </c>
      <c r="D13" s="30">
        <f>--591876.143</f>
        <v>591876.14300000004</v>
      </c>
      <c r="E13" s="18">
        <f>--823241.3481</f>
        <v>823241.34809999994</v>
      </c>
      <c r="F13" s="31">
        <f>--1190790.8995</f>
        <v>1190790.8995000001</v>
      </c>
    </row>
    <row r="14" spans="1:9" x14ac:dyDescent="0.35">
      <c r="A14" s="3">
        <v>3201</v>
      </c>
      <c r="B14" t="s">
        <v>91</v>
      </c>
      <c r="C14" s="29">
        <f>--22395</f>
        <v>22395</v>
      </c>
      <c r="D14" s="30">
        <f>--59535</f>
        <v>59535</v>
      </c>
      <c r="E14" s="18">
        <f>--124031.41</f>
        <v>124031.41</v>
      </c>
      <c r="F14" s="31">
        <f>--127855.14</f>
        <v>127855.14</v>
      </c>
    </row>
    <row r="15" spans="1:9" x14ac:dyDescent="0.35">
      <c r="A15" s="3">
        <v>3400</v>
      </c>
      <c r="B15" t="s">
        <v>6</v>
      </c>
      <c r="C15" s="29">
        <f t="shared" ref="C15:D15" si="1">0</f>
        <v>0</v>
      </c>
      <c r="D15" s="30">
        <f t="shared" si="1"/>
        <v>0</v>
      </c>
      <c r="E15" s="18">
        <f>--133000</f>
        <v>133000</v>
      </c>
      <c r="F15" s="31">
        <f>--123400</f>
        <v>123400</v>
      </c>
    </row>
    <row r="16" spans="1:9" x14ac:dyDescent="0.35">
      <c r="A16" s="3">
        <v>3405</v>
      </c>
      <c r="B16" t="s">
        <v>164</v>
      </c>
      <c r="C16" s="29">
        <f>--70250</f>
        <v>70250</v>
      </c>
      <c r="D16" s="30">
        <f t="shared" ref="D16:D18" si="2">0</f>
        <v>0</v>
      </c>
      <c r="E16" s="18">
        <f>--190250</f>
        <v>190250</v>
      </c>
      <c r="F16" s="31">
        <f>0</f>
        <v>0</v>
      </c>
    </row>
    <row r="17" spans="1:6" x14ac:dyDescent="0.35">
      <c r="A17" s="3">
        <v>3921</v>
      </c>
      <c r="B17" t="s">
        <v>23</v>
      </c>
      <c r="C17" s="29">
        <f t="shared" ref="C17:C22" si="3">0</f>
        <v>0</v>
      </c>
      <c r="D17" s="30">
        <f t="shared" si="2"/>
        <v>0</v>
      </c>
      <c r="E17" s="18">
        <f>0</f>
        <v>0</v>
      </c>
      <c r="F17" s="31">
        <f>--515.9</f>
        <v>515.9</v>
      </c>
    </row>
    <row r="18" spans="1:6" x14ac:dyDescent="0.35">
      <c r="A18" s="3">
        <v>3930</v>
      </c>
      <c r="B18" t="s">
        <v>55</v>
      </c>
      <c r="C18" s="29">
        <f t="shared" si="3"/>
        <v>0</v>
      </c>
      <c r="D18" s="30">
        <f t="shared" si="2"/>
        <v>0</v>
      </c>
      <c r="E18" s="18">
        <f>--122770.9</f>
        <v>122770.9</v>
      </c>
      <c r="F18" s="31">
        <f>--152126.06</f>
        <v>152126.06</v>
      </c>
    </row>
    <row r="19" spans="1:6" x14ac:dyDescent="0.35">
      <c r="A19" s="3">
        <v>3934</v>
      </c>
      <c r="B19" t="s">
        <v>149</v>
      </c>
      <c r="C19" s="29">
        <f t="shared" si="3"/>
        <v>0</v>
      </c>
      <c r="D19" s="30">
        <f>--2085.69</f>
        <v>2085.69</v>
      </c>
      <c r="E19" s="18">
        <f>--15263.88</f>
        <v>15263.88</v>
      </c>
      <c r="F19" s="31">
        <f>-1914.31</f>
        <v>-1914.31</v>
      </c>
    </row>
    <row r="20" spans="1:6" x14ac:dyDescent="0.35">
      <c r="A20" s="3">
        <v>3936</v>
      </c>
      <c r="B20" t="s">
        <v>150</v>
      </c>
      <c r="C20" s="29">
        <f t="shared" si="3"/>
        <v>0</v>
      </c>
      <c r="D20" s="30">
        <f t="shared" ref="D20:D23" si="4">0</f>
        <v>0</v>
      </c>
      <c r="E20" s="18">
        <f>0</f>
        <v>0</v>
      </c>
      <c r="F20" s="31">
        <f>--40500</f>
        <v>40500</v>
      </c>
    </row>
    <row r="21" spans="1:6" x14ac:dyDescent="0.35">
      <c r="A21" s="3">
        <v>3960</v>
      </c>
      <c r="B21" t="s">
        <v>73</v>
      </c>
      <c r="C21" s="29">
        <f t="shared" si="3"/>
        <v>0</v>
      </c>
      <c r="D21" s="30">
        <f t="shared" si="4"/>
        <v>0</v>
      </c>
      <c r="E21" s="18">
        <f>--1200</f>
        <v>1200</v>
      </c>
      <c r="F21" s="31">
        <f>0</f>
        <v>0</v>
      </c>
    </row>
    <row r="22" spans="1:6" x14ac:dyDescent="0.35">
      <c r="A22" s="3">
        <v>3962</v>
      </c>
      <c r="B22" t="s">
        <v>231</v>
      </c>
      <c r="C22" s="29">
        <f t="shared" si="3"/>
        <v>0</v>
      </c>
      <c r="D22" s="30">
        <f t="shared" si="4"/>
        <v>0</v>
      </c>
      <c r="E22" s="18">
        <f>--92415</f>
        <v>92415</v>
      </c>
      <c r="F22" s="31">
        <f>--94330.32</f>
        <v>94330.32</v>
      </c>
    </row>
    <row r="23" spans="1:6" x14ac:dyDescent="0.35">
      <c r="A23" s="3">
        <v>3963</v>
      </c>
      <c r="B23" t="s">
        <v>24</v>
      </c>
      <c r="C23" s="29">
        <f>--6571.95</f>
        <v>6571.95</v>
      </c>
      <c r="D23" s="30">
        <f t="shared" si="4"/>
        <v>0</v>
      </c>
      <c r="E23" s="18">
        <f>--7145.87</f>
        <v>7145.87</v>
      </c>
      <c r="F23" s="31">
        <f>--0.04</f>
        <v>0.04</v>
      </c>
    </row>
    <row r="24" spans="1:6" x14ac:dyDescent="0.35">
      <c r="A24" s="3">
        <v>3965</v>
      </c>
      <c r="B24" t="s">
        <v>192</v>
      </c>
      <c r="C24" s="29">
        <f>0</f>
        <v>0</v>
      </c>
      <c r="D24" s="30">
        <f>--1650</f>
        <v>1650</v>
      </c>
      <c r="E24" s="18">
        <f>0</f>
        <v>0</v>
      </c>
      <c r="F24" s="31">
        <f>--1650</f>
        <v>1650</v>
      </c>
    </row>
    <row r="25" spans="1:6" x14ac:dyDescent="0.35">
      <c r="A25" s="3">
        <v>3991</v>
      </c>
      <c r="B25" t="s">
        <v>25</v>
      </c>
      <c r="C25" s="29">
        <f t="shared" ref="C25:F25" si="5">--30000</f>
        <v>30000</v>
      </c>
      <c r="D25" s="30">
        <f t="shared" si="5"/>
        <v>30000</v>
      </c>
      <c r="E25" s="18">
        <f t="shared" si="5"/>
        <v>30000</v>
      </c>
      <c r="F25" s="31">
        <f t="shared" si="5"/>
        <v>30000</v>
      </c>
    </row>
    <row r="26" spans="1:6" x14ac:dyDescent="0.35">
      <c r="A26" s="3">
        <v>3996</v>
      </c>
      <c r="B26" t="s">
        <v>121</v>
      </c>
      <c r="C26" s="29">
        <f t="shared" ref="C26:E27" si="6">0</f>
        <v>0</v>
      </c>
      <c r="D26" s="30">
        <f t="shared" si="6"/>
        <v>0</v>
      </c>
      <c r="E26" s="18">
        <f t="shared" si="6"/>
        <v>0</v>
      </c>
      <c r="F26" s="31">
        <f>--78379.46</f>
        <v>78379.460000000006</v>
      </c>
    </row>
    <row r="27" spans="1:6" ht="15" thickBot="1" x14ac:dyDescent="0.4">
      <c r="A27" s="3">
        <v>3999</v>
      </c>
      <c r="B27" t="s">
        <v>56</v>
      </c>
      <c r="C27" s="29">
        <f t="shared" si="6"/>
        <v>0</v>
      </c>
      <c r="D27" s="30">
        <f t="shared" si="6"/>
        <v>0</v>
      </c>
      <c r="E27" s="18">
        <f t="shared" si="6"/>
        <v>0</v>
      </c>
      <c r="F27" s="31">
        <f>--10022</f>
        <v>10022</v>
      </c>
    </row>
    <row r="28" spans="1:6" s="1" customFormat="1" ht="15" thickBot="1" x14ac:dyDescent="0.4">
      <c r="A28" s="20" t="s">
        <v>119</v>
      </c>
      <c r="B28" s="19"/>
      <c r="C28" s="38">
        <f t="shared" ref="C28:F28" si="7">SUM(C10:C27)</f>
        <v>672672.30709999998</v>
      </c>
      <c r="D28" s="42">
        <f t="shared" si="7"/>
        <v>712646.83299999998</v>
      </c>
      <c r="E28" s="34">
        <f t="shared" si="7"/>
        <v>1832190.1780999999</v>
      </c>
      <c r="F28" s="49">
        <f t="shared" si="7"/>
        <v>1913155.5094999999</v>
      </c>
    </row>
    <row r="29" spans="1:6" x14ac:dyDescent="0.35">
      <c r="A29" s="3"/>
      <c r="C29" s="10"/>
      <c r="D29" s="9"/>
      <c r="E29" s="5"/>
      <c r="F29" s="11"/>
    </row>
    <row r="30" spans="1:6" s="1" customFormat="1" x14ac:dyDescent="0.35">
      <c r="A30" s="7" t="s">
        <v>221</v>
      </c>
      <c r="C30" s="24"/>
      <c r="D30" s="26"/>
      <c r="E30" s="15"/>
      <c r="F30" s="28"/>
    </row>
    <row r="31" spans="1:6" x14ac:dyDescent="0.35">
      <c r="A31" s="3">
        <v>4160</v>
      </c>
      <c r="B31" t="s">
        <v>74</v>
      </c>
      <c r="C31" s="29"/>
      <c r="D31" s="30"/>
      <c r="E31" s="18">
        <v>450</v>
      </c>
      <c r="F31" s="31"/>
    </row>
    <row r="32" spans="1:6" x14ac:dyDescent="0.35">
      <c r="A32" s="3">
        <v>4200</v>
      </c>
      <c r="B32" t="s">
        <v>122</v>
      </c>
      <c r="C32" s="29">
        <v>81600</v>
      </c>
      <c r="D32" s="30"/>
      <c r="E32" s="18">
        <v>111683.75</v>
      </c>
      <c r="F32" s="31">
        <v>-3120</v>
      </c>
    </row>
    <row r="33" spans="1:6" x14ac:dyDescent="0.35">
      <c r="A33" s="3">
        <v>4201</v>
      </c>
      <c r="B33" t="s">
        <v>123</v>
      </c>
      <c r="C33" s="29"/>
      <c r="D33" s="30"/>
      <c r="E33" s="18"/>
      <c r="F33" s="31">
        <v>410.6</v>
      </c>
    </row>
    <row r="34" spans="1:6" x14ac:dyDescent="0.35">
      <c r="A34" s="3">
        <v>4206</v>
      </c>
      <c r="B34" t="s">
        <v>193</v>
      </c>
      <c r="C34" s="29"/>
      <c r="D34" s="30"/>
      <c r="E34" s="18">
        <v>50330.95</v>
      </c>
      <c r="F34" s="31">
        <v>40106.559999999998</v>
      </c>
    </row>
    <row r="35" spans="1:6" x14ac:dyDescent="0.35">
      <c r="A35" s="3">
        <v>4207</v>
      </c>
      <c r="B35" t="s">
        <v>137</v>
      </c>
      <c r="C35" s="29"/>
      <c r="D35" s="30"/>
      <c r="E35" s="18"/>
      <c r="F35" s="31">
        <v>332.6</v>
      </c>
    </row>
    <row r="36" spans="1:6" x14ac:dyDescent="0.35">
      <c r="A36" s="3">
        <v>4208</v>
      </c>
      <c r="B36" t="s">
        <v>7</v>
      </c>
      <c r="C36" s="29"/>
      <c r="D36" s="30"/>
      <c r="E36" s="18">
        <v>10000</v>
      </c>
      <c r="F36" s="31">
        <v>10000</v>
      </c>
    </row>
    <row r="37" spans="1:6" x14ac:dyDescent="0.35">
      <c r="A37" s="3">
        <v>4210</v>
      </c>
      <c r="B37" t="s">
        <v>107</v>
      </c>
      <c r="C37" s="29"/>
      <c r="D37" s="30">
        <v>1550</v>
      </c>
      <c r="E37" s="18">
        <v>52940</v>
      </c>
      <c r="F37" s="31">
        <v>36458</v>
      </c>
    </row>
    <row r="38" spans="1:6" x14ac:dyDescent="0.35">
      <c r="A38" s="3">
        <v>4212</v>
      </c>
      <c r="B38" t="s">
        <v>149</v>
      </c>
      <c r="C38" s="29"/>
      <c r="D38" s="30"/>
      <c r="E38" s="18">
        <v>38450.5</v>
      </c>
      <c r="F38" s="31">
        <v>31219.9</v>
      </c>
    </row>
    <row r="39" spans="1:6" x14ac:dyDescent="0.35">
      <c r="A39" s="3">
        <v>4213</v>
      </c>
      <c r="B39" t="s">
        <v>224</v>
      </c>
      <c r="C39" s="29">
        <v>52303.32</v>
      </c>
      <c r="D39" s="30">
        <v>2775</v>
      </c>
      <c r="E39" s="18">
        <v>52303.32</v>
      </c>
      <c r="F39" s="31">
        <v>5175</v>
      </c>
    </row>
    <row r="40" spans="1:6" x14ac:dyDescent="0.35">
      <c r="A40" s="3">
        <v>4214</v>
      </c>
      <c r="B40" t="s">
        <v>165</v>
      </c>
      <c r="C40" s="29"/>
      <c r="D40" s="30"/>
      <c r="E40" s="18"/>
      <c r="F40" s="31">
        <v>5610</v>
      </c>
    </row>
    <row r="41" spans="1:6" x14ac:dyDescent="0.35">
      <c r="A41" s="3">
        <v>4215</v>
      </c>
      <c r="B41" t="s">
        <v>194</v>
      </c>
      <c r="C41" s="29">
        <v>7005</v>
      </c>
      <c r="D41" s="30"/>
      <c r="E41" s="18">
        <v>46605</v>
      </c>
      <c r="F41" s="31">
        <v>106973</v>
      </c>
    </row>
    <row r="42" spans="1:6" x14ac:dyDescent="0.35">
      <c r="A42" s="3">
        <v>4216</v>
      </c>
      <c r="B42" t="s">
        <v>210</v>
      </c>
      <c r="C42" s="29">
        <v>1769</v>
      </c>
      <c r="D42" s="30">
        <v>2025</v>
      </c>
      <c r="E42" s="18">
        <v>3755.08</v>
      </c>
      <c r="F42" s="31">
        <v>4363.8500000000004</v>
      </c>
    </row>
    <row r="43" spans="1:6" x14ac:dyDescent="0.35">
      <c r="A43" s="3">
        <v>4218</v>
      </c>
      <c r="B43" t="s">
        <v>173</v>
      </c>
      <c r="C43" s="29"/>
      <c r="D43" s="30"/>
      <c r="E43" s="18">
        <v>-3552.2</v>
      </c>
      <c r="F43" s="31">
        <v>31573.93</v>
      </c>
    </row>
    <row r="44" spans="1:6" x14ac:dyDescent="0.35">
      <c r="A44" s="3">
        <v>4300</v>
      </c>
      <c r="B44" t="s">
        <v>195</v>
      </c>
      <c r="C44" s="29">
        <v>400</v>
      </c>
      <c r="D44" s="30">
        <v>2903.96</v>
      </c>
      <c r="E44" s="18">
        <v>442.9</v>
      </c>
      <c r="F44" s="31">
        <v>10157.14</v>
      </c>
    </row>
    <row r="45" spans="1:6" x14ac:dyDescent="0.35">
      <c r="A45" s="3">
        <v>4301</v>
      </c>
      <c r="B45" t="s">
        <v>92</v>
      </c>
      <c r="C45" s="29"/>
      <c r="D45" s="30"/>
      <c r="E45" s="18">
        <v>33.008000000000003</v>
      </c>
      <c r="F45" s="31"/>
    </row>
    <row r="46" spans="1:6" x14ac:dyDescent="0.35">
      <c r="A46" s="3">
        <v>4310</v>
      </c>
      <c r="B46" t="s">
        <v>58</v>
      </c>
      <c r="C46" s="29">
        <v>10472.42</v>
      </c>
      <c r="D46" s="30">
        <v>26759.86</v>
      </c>
      <c r="E46" s="18">
        <v>52218.25</v>
      </c>
      <c r="F46" s="31">
        <v>79938.899999999994</v>
      </c>
    </row>
    <row r="47" spans="1:6" x14ac:dyDescent="0.35">
      <c r="A47" s="3">
        <v>4380</v>
      </c>
      <c r="B47" t="s">
        <v>124</v>
      </c>
      <c r="C47" s="29">
        <v>155552</v>
      </c>
      <c r="D47" s="30"/>
      <c r="E47" s="18">
        <v>155552</v>
      </c>
      <c r="F47" s="31"/>
    </row>
    <row r="48" spans="1:6" x14ac:dyDescent="0.35">
      <c r="A48" s="3">
        <v>4381</v>
      </c>
      <c r="B48" t="s">
        <v>108</v>
      </c>
      <c r="C48" s="29">
        <v>-155552</v>
      </c>
      <c r="D48" s="30"/>
      <c r="E48" s="18">
        <v>-155552</v>
      </c>
      <c r="F48" s="31"/>
    </row>
    <row r="49" spans="1:6" x14ac:dyDescent="0.35">
      <c r="A49" s="3">
        <v>4400</v>
      </c>
      <c r="B49" t="s">
        <v>75</v>
      </c>
      <c r="C49" s="29"/>
      <c r="D49" s="30"/>
      <c r="E49" s="18"/>
      <c r="F49" s="31">
        <v>3823.11</v>
      </c>
    </row>
    <row r="50" spans="1:6" x14ac:dyDescent="0.35">
      <c r="A50" s="3">
        <v>4415</v>
      </c>
      <c r="B50" t="s">
        <v>109</v>
      </c>
      <c r="C50" s="29"/>
      <c r="D50" s="30"/>
      <c r="E50" s="18">
        <v>3921</v>
      </c>
      <c r="F50" s="31">
        <v>9134</v>
      </c>
    </row>
    <row r="51" spans="1:6" x14ac:dyDescent="0.35">
      <c r="A51" s="3">
        <v>5000</v>
      </c>
      <c r="B51" t="s">
        <v>196</v>
      </c>
      <c r="C51" s="29"/>
      <c r="D51" s="30"/>
      <c r="E51" s="18">
        <v>208818.75</v>
      </c>
      <c r="F51" s="31">
        <v>114387.5</v>
      </c>
    </row>
    <row r="52" spans="1:6" x14ac:dyDescent="0.35">
      <c r="A52" s="3">
        <v>5092</v>
      </c>
      <c r="B52" t="s">
        <v>197</v>
      </c>
      <c r="C52" s="29"/>
      <c r="D52" s="30"/>
      <c r="E52" s="18">
        <v>22484.59</v>
      </c>
      <c r="F52" s="31">
        <v>11667.54</v>
      </c>
    </row>
    <row r="53" spans="1:6" x14ac:dyDescent="0.35">
      <c r="A53" s="3">
        <v>6340</v>
      </c>
      <c r="B53" t="s">
        <v>39</v>
      </c>
      <c r="C53" s="29"/>
      <c r="D53" s="30"/>
      <c r="E53" s="18">
        <v>0</v>
      </c>
      <c r="F53" s="31"/>
    </row>
    <row r="54" spans="1:6" x14ac:dyDescent="0.35">
      <c r="A54" s="3">
        <v>6341</v>
      </c>
      <c r="B54" t="s">
        <v>8</v>
      </c>
      <c r="C54" s="29">
        <v>13603.984</v>
      </c>
      <c r="D54" s="30">
        <v>24689.008000000002</v>
      </c>
      <c r="E54" s="18">
        <v>96078.448000000004</v>
      </c>
      <c r="F54" s="31">
        <v>111305.288</v>
      </c>
    </row>
    <row r="55" spans="1:6" x14ac:dyDescent="0.35">
      <c r="A55" s="3">
        <v>6540</v>
      </c>
      <c r="B55" t="s">
        <v>77</v>
      </c>
      <c r="C55" s="29"/>
      <c r="D55" s="30">
        <v>-44103</v>
      </c>
      <c r="E55" s="18">
        <v>0</v>
      </c>
      <c r="F55" s="31">
        <v>-117528.09</v>
      </c>
    </row>
    <row r="56" spans="1:6" x14ac:dyDescent="0.35">
      <c r="A56" s="3">
        <v>6545</v>
      </c>
      <c r="B56" t="s">
        <v>78</v>
      </c>
      <c r="C56" s="29"/>
      <c r="D56" s="30"/>
      <c r="E56" s="18"/>
      <c r="F56" s="31">
        <v>5742.2</v>
      </c>
    </row>
    <row r="57" spans="1:6" x14ac:dyDescent="0.35">
      <c r="A57" s="3">
        <v>6550</v>
      </c>
      <c r="B57" t="s">
        <v>110</v>
      </c>
      <c r="C57" s="29"/>
      <c r="D57" s="30"/>
      <c r="E57" s="18"/>
      <c r="F57" s="31">
        <v>818</v>
      </c>
    </row>
    <row r="58" spans="1:6" x14ac:dyDescent="0.35">
      <c r="A58" s="3">
        <v>6553</v>
      </c>
      <c r="B58" t="s">
        <v>93</v>
      </c>
      <c r="C58" s="29"/>
      <c r="D58" s="30"/>
      <c r="E58" s="18">
        <v>12600</v>
      </c>
      <c r="F58" s="31"/>
    </row>
    <row r="59" spans="1:6" x14ac:dyDescent="0.35">
      <c r="A59" s="3">
        <v>6600</v>
      </c>
      <c r="B59" t="s">
        <v>125</v>
      </c>
      <c r="C59" s="29">
        <v>206361.432</v>
      </c>
      <c r="D59" s="30">
        <v>22266.32</v>
      </c>
      <c r="E59" s="18">
        <v>207919.64799999999</v>
      </c>
      <c r="F59" s="31">
        <v>26968.09</v>
      </c>
    </row>
    <row r="60" spans="1:6" x14ac:dyDescent="0.35">
      <c r="A60" s="3">
        <v>6610</v>
      </c>
      <c r="B60" t="s">
        <v>233</v>
      </c>
      <c r="C60" s="29">
        <v>2480.8000000000002</v>
      </c>
      <c r="D60" s="30">
        <v>146933.88</v>
      </c>
      <c r="E60" s="18">
        <v>18361.407999999999</v>
      </c>
      <c r="F60" s="31">
        <v>301646.89199999999</v>
      </c>
    </row>
    <row r="61" spans="1:6" x14ac:dyDescent="0.35">
      <c r="A61" s="3">
        <v>6640</v>
      </c>
      <c r="B61" t="s">
        <v>234</v>
      </c>
      <c r="C61" s="29">
        <v>365455.48800000001</v>
      </c>
      <c r="D61" s="30">
        <v>44590</v>
      </c>
      <c r="E61" s="18">
        <v>436113.93199999997</v>
      </c>
      <c r="F61" s="31">
        <v>462593.24800000002</v>
      </c>
    </row>
    <row r="62" spans="1:6" x14ac:dyDescent="0.35">
      <c r="A62" s="3">
        <v>6641</v>
      </c>
      <c r="B62" t="s">
        <v>79</v>
      </c>
      <c r="C62" s="29"/>
      <c r="D62" s="30"/>
      <c r="E62" s="18">
        <v>4123.2</v>
      </c>
      <c r="F62" s="31"/>
    </row>
    <row r="63" spans="1:6" x14ac:dyDescent="0.35">
      <c r="A63" s="3">
        <v>6642</v>
      </c>
      <c r="B63" t="s">
        <v>235</v>
      </c>
      <c r="C63" s="29"/>
      <c r="D63" s="30">
        <v>151108.79999999999</v>
      </c>
      <c r="E63" s="18">
        <v>1228</v>
      </c>
      <c r="F63" s="31">
        <v>173998.54399999999</v>
      </c>
    </row>
    <row r="64" spans="1:6" x14ac:dyDescent="0.35">
      <c r="A64" s="3">
        <v>6645</v>
      </c>
      <c r="B64" t="s">
        <v>198</v>
      </c>
      <c r="C64" s="29">
        <v>26606.655999999999</v>
      </c>
      <c r="D64" s="30">
        <v>39114.311999999998</v>
      </c>
      <c r="E64" s="18">
        <v>72110.656000000003</v>
      </c>
      <c r="F64" s="31">
        <v>94952.712</v>
      </c>
    </row>
    <row r="65" spans="1:6" x14ac:dyDescent="0.35">
      <c r="A65" s="3">
        <v>6660</v>
      </c>
      <c r="B65" t="s">
        <v>26</v>
      </c>
      <c r="C65" s="29"/>
      <c r="D65" s="30">
        <v>33747.553999999996</v>
      </c>
      <c r="E65" s="18">
        <v>176084.568</v>
      </c>
      <c r="F65" s="31">
        <v>221577.56400000001</v>
      </c>
    </row>
    <row r="66" spans="1:6" x14ac:dyDescent="0.35">
      <c r="A66" s="3">
        <v>6680</v>
      </c>
      <c r="B66" t="s">
        <v>199</v>
      </c>
      <c r="C66" s="29">
        <v>5531.6080000000002</v>
      </c>
      <c r="D66" s="30"/>
      <c r="E66" s="18">
        <v>5531.6080000000002</v>
      </c>
      <c r="F66" s="31">
        <v>831.28</v>
      </c>
    </row>
    <row r="67" spans="1:6" x14ac:dyDescent="0.35">
      <c r="A67" s="3">
        <v>7324</v>
      </c>
      <c r="B67" t="s">
        <v>60</v>
      </c>
      <c r="C67" s="29"/>
      <c r="D67" s="30"/>
      <c r="E67" s="18"/>
      <c r="F67" s="31">
        <v>210</v>
      </c>
    </row>
    <row r="68" spans="1:6" x14ac:dyDescent="0.35">
      <c r="A68" s="3">
        <v>7400</v>
      </c>
      <c r="B68" t="s">
        <v>61</v>
      </c>
      <c r="C68" s="29"/>
      <c r="D68" s="30"/>
      <c r="E68" s="18"/>
      <c r="F68" s="31">
        <v>2000</v>
      </c>
    </row>
    <row r="69" spans="1:6" x14ac:dyDescent="0.35">
      <c r="A69" s="3">
        <v>7420</v>
      </c>
      <c r="B69" t="s">
        <v>53</v>
      </c>
      <c r="C69" s="29"/>
      <c r="D69" s="30"/>
      <c r="E69" s="18"/>
      <c r="F69" s="31">
        <v>629</v>
      </c>
    </row>
    <row r="70" spans="1:6" x14ac:dyDescent="0.35">
      <c r="A70" s="3">
        <v>7740</v>
      </c>
      <c r="B70" t="s">
        <v>138</v>
      </c>
      <c r="C70" s="29"/>
      <c r="D70" s="30">
        <v>103.28</v>
      </c>
      <c r="E70" s="18">
        <v>-0.57999999999999996</v>
      </c>
      <c r="F70" s="31">
        <v>103.11</v>
      </c>
    </row>
    <row r="71" spans="1:6" x14ac:dyDescent="0.35">
      <c r="A71" s="3">
        <v>7770</v>
      </c>
      <c r="B71" t="s">
        <v>80</v>
      </c>
      <c r="C71" s="29">
        <v>194.75</v>
      </c>
      <c r="D71" s="30">
        <v>215</v>
      </c>
      <c r="E71" s="18">
        <v>1842.75</v>
      </c>
      <c r="F71" s="31">
        <v>1903.25</v>
      </c>
    </row>
    <row r="72" spans="1:6" x14ac:dyDescent="0.35">
      <c r="A72" s="3">
        <v>7780</v>
      </c>
      <c r="B72" t="s">
        <v>27</v>
      </c>
      <c r="C72" s="29"/>
      <c r="D72" s="30">
        <v>622.78</v>
      </c>
      <c r="E72" s="18"/>
      <c r="F72" s="31">
        <v>1794.46</v>
      </c>
    </row>
    <row r="73" spans="1:6" x14ac:dyDescent="0.35">
      <c r="A73" s="3">
        <v>7781</v>
      </c>
      <c r="B73" t="s">
        <v>112</v>
      </c>
      <c r="C73" s="29">
        <v>604.41</v>
      </c>
      <c r="D73" s="30"/>
      <c r="E73" s="18">
        <v>1425.27</v>
      </c>
      <c r="F73" s="31"/>
    </row>
    <row r="74" spans="1:6" x14ac:dyDescent="0.35">
      <c r="A74" s="3">
        <v>7782</v>
      </c>
      <c r="B74" t="s">
        <v>201</v>
      </c>
      <c r="C74" s="29">
        <v>7985.97</v>
      </c>
      <c r="D74" s="30">
        <v>11872.83</v>
      </c>
      <c r="E74" s="18">
        <v>18672.8</v>
      </c>
      <c r="F74" s="31">
        <v>1126.5899999999999</v>
      </c>
    </row>
    <row r="75" spans="1:6" ht="15" thickBot="1" x14ac:dyDescent="0.4">
      <c r="A75" s="3">
        <v>7783</v>
      </c>
      <c r="B75" t="s">
        <v>62</v>
      </c>
      <c r="C75" s="29"/>
      <c r="D75" s="30"/>
      <c r="E75" s="18">
        <v>4509.7700000000004</v>
      </c>
      <c r="F75" s="31">
        <v>3748</v>
      </c>
    </row>
    <row r="76" spans="1:6" s="1" customFormat="1" ht="15" thickBot="1" x14ac:dyDescent="0.4">
      <c r="A76" s="20" t="s">
        <v>120</v>
      </c>
      <c r="B76" s="19"/>
      <c r="C76" s="38">
        <f t="shared" ref="C76:F76" si="8">SUM(C31:C75)</f>
        <v>782374.83799999987</v>
      </c>
      <c r="D76" s="42">
        <f t="shared" si="8"/>
        <v>467174.58400000003</v>
      </c>
      <c r="E76" s="34">
        <f t="shared" si="8"/>
        <v>1707486.3759999999</v>
      </c>
      <c r="F76" s="49">
        <f t="shared" si="8"/>
        <v>1792631.7680000002</v>
      </c>
    </row>
    <row r="77" spans="1:6" x14ac:dyDescent="0.35">
      <c r="A77" s="3"/>
      <c r="C77" s="10"/>
      <c r="D77" s="9"/>
      <c r="E77" s="5"/>
      <c r="F77" s="11"/>
    </row>
    <row r="78" spans="1:6" s="1" customFormat="1" x14ac:dyDescent="0.35">
      <c r="A78" s="7" t="s">
        <v>19</v>
      </c>
      <c r="C78" s="24"/>
      <c r="D78" s="26"/>
      <c r="E78" s="15"/>
      <c r="F78" s="28"/>
    </row>
    <row r="79" spans="1:6" s="1" customFormat="1" x14ac:dyDescent="0.35">
      <c r="A79" s="3">
        <v>8051</v>
      </c>
      <c r="B79" t="s">
        <v>130</v>
      </c>
      <c r="C79" s="29"/>
      <c r="D79" s="30"/>
      <c r="E79" s="18">
        <v>-24197.98</v>
      </c>
      <c r="F79" s="31"/>
    </row>
    <row r="80" spans="1:6" x14ac:dyDescent="0.35">
      <c r="A80" s="3">
        <v>8151</v>
      </c>
      <c r="B80" t="s">
        <v>28</v>
      </c>
      <c r="C80" s="29"/>
      <c r="D80" s="30"/>
      <c r="E80" s="18">
        <v>0</v>
      </c>
      <c r="F80" s="31">
        <v>-71</v>
      </c>
    </row>
    <row r="81" spans="1:6" x14ac:dyDescent="0.35">
      <c r="A81" s="3">
        <v>8154</v>
      </c>
      <c r="B81" t="s">
        <v>213</v>
      </c>
      <c r="C81" s="29">
        <v>-54393.52</v>
      </c>
      <c r="D81" s="30"/>
      <c r="E81" s="18">
        <v>-54393.52</v>
      </c>
      <c r="F81" s="31"/>
    </row>
    <row r="82" spans="1:6" x14ac:dyDescent="0.35">
      <c r="A82" s="3">
        <v>8155</v>
      </c>
      <c r="B82" t="s">
        <v>11</v>
      </c>
      <c r="C82" s="29"/>
      <c r="D82" s="30">
        <v>127</v>
      </c>
      <c r="E82" s="18">
        <v>306.86</v>
      </c>
      <c r="F82" s="31">
        <v>369.9</v>
      </c>
    </row>
    <row r="83" spans="1:6" ht="15" thickBot="1" x14ac:dyDescent="0.4">
      <c r="A83" s="3">
        <v>8160</v>
      </c>
      <c r="B83" t="s">
        <v>178</v>
      </c>
      <c r="C83" s="29"/>
      <c r="D83" s="30"/>
      <c r="E83" s="18">
        <v>67.86</v>
      </c>
      <c r="F83" s="31"/>
    </row>
    <row r="84" spans="1:6" s="1" customFormat="1" x14ac:dyDescent="0.35">
      <c r="A84" s="54" t="s">
        <v>34</v>
      </c>
      <c r="B84" s="56"/>
      <c r="C84" s="50">
        <f t="shared" ref="C84:F84" si="9">SUM(C79)+SUM(C80:C83)</f>
        <v>-54393.52</v>
      </c>
      <c r="D84" s="39">
        <f t="shared" si="9"/>
        <v>127</v>
      </c>
      <c r="E84" s="36">
        <f t="shared" si="9"/>
        <v>-78216.78</v>
      </c>
      <c r="F84" s="41">
        <f t="shared" si="9"/>
        <v>298.89999999999998</v>
      </c>
    </row>
    <row r="85" spans="1:6" x14ac:dyDescent="0.35">
      <c r="A85" s="3"/>
      <c r="C85" s="10"/>
      <c r="D85" s="9"/>
      <c r="E85" s="5"/>
      <c r="F85" s="11"/>
    </row>
    <row r="86" spans="1:6" s="1" customFormat="1" ht="15" thickBot="1" x14ac:dyDescent="0.4">
      <c r="A86" s="27" t="s">
        <v>86</v>
      </c>
      <c r="B86" s="17"/>
      <c r="C86" s="87">
        <f t="shared" ref="C86:F86" si="10">C28-C76-C84</f>
        <v>-55309.010899999899</v>
      </c>
      <c r="D86" s="83">
        <f t="shared" si="10"/>
        <v>245345.24899999995</v>
      </c>
      <c r="E86" s="63">
        <f t="shared" si="10"/>
        <v>202920.58209999997</v>
      </c>
      <c r="F86" s="88">
        <f t="shared" si="10"/>
        <v>120224.84149999978</v>
      </c>
    </row>
    <row r="87" spans="1:6" x14ac:dyDescent="0.35">
      <c r="A87" s="3"/>
      <c r="C87" s="10"/>
      <c r="D87" s="9"/>
      <c r="E87" s="5"/>
      <c r="F87" s="11"/>
    </row>
    <row r="88" spans="1:6" s="1" customFormat="1" ht="15" thickBot="1" x14ac:dyDescent="0.4">
      <c r="A88" s="7" t="s">
        <v>49</v>
      </c>
      <c r="C88" s="24"/>
      <c r="D88" s="26"/>
      <c r="E88" s="15"/>
      <c r="F88" s="28"/>
    </row>
    <row r="89" spans="1:6" x14ac:dyDescent="0.35">
      <c r="A89" s="57" t="s">
        <v>87</v>
      </c>
      <c r="B89" s="53"/>
      <c r="C89" s="50">
        <f t="shared" ref="C89:F89" si="11">SUM(0)</f>
        <v>0</v>
      </c>
      <c r="D89" s="39">
        <f t="shared" si="11"/>
        <v>0</v>
      </c>
      <c r="E89" s="36">
        <f t="shared" si="11"/>
        <v>0</v>
      </c>
      <c r="F89" s="41">
        <f t="shared" si="11"/>
        <v>0</v>
      </c>
    </row>
    <row r="90" spans="1:6" x14ac:dyDescent="0.35">
      <c r="A90" s="3"/>
      <c r="C90" s="10"/>
      <c r="D90" s="9"/>
      <c r="E90" s="5"/>
      <c r="F90" s="11"/>
    </row>
    <row r="91" spans="1:6" s="1" customFormat="1" ht="15" thickBot="1" x14ac:dyDescent="0.4">
      <c r="A91" s="60" t="s">
        <v>147</v>
      </c>
      <c r="B91" s="59"/>
      <c r="C91" s="84">
        <f t="shared" ref="C91:F91" si="12">C86-C89</f>
        <v>-55309.010899999899</v>
      </c>
      <c r="D91" s="86">
        <f t="shared" si="12"/>
        <v>245345.24899999995</v>
      </c>
      <c r="E91" s="72">
        <f t="shared" si="12"/>
        <v>202920.58209999997</v>
      </c>
      <c r="F91" s="85">
        <f t="shared" si="12"/>
        <v>120224.84149999978</v>
      </c>
    </row>
    <row r="92" spans="1:6" ht="15" thickTop="1" x14ac:dyDescent="0.35"/>
    <row r="217" spans="1:2" hidden="1" x14ac:dyDescent="0.35"/>
    <row r="218" spans="1:2" hidden="1" x14ac:dyDescent="0.35">
      <c r="B218" t="str">
        <f>VLOOKUP(RIGHT(202411,2),MANED3,2,FALSE)&amp;" - "</f>
        <v xml:space="preserve">November - </v>
      </c>
    </row>
    <row r="219" spans="1:2" hidden="1" x14ac:dyDescent="0.35">
      <c r="B219" t="str">
        <f>VLOOKUP(RIGHT(202412,2),MANED3,2,FALSE)&amp;"  "&amp;LEFT(202412,4)</f>
        <v>Desember  2024</v>
      </c>
    </row>
    <row r="220" spans="1:2" hidden="1" x14ac:dyDescent="0.35"/>
    <row r="221" spans="1:2" hidden="1" x14ac:dyDescent="0.35"/>
    <row r="222" spans="1:2" hidden="1" x14ac:dyDescent="0.35"/>
    <row r="223" spans="1:2" hidden="1" x14ac:dyDescent="0.35">
      <c r="A223" s="46" t="s">
        <v>66</v>
      </c>
      <c r="B223" s="45" t="s">
        <v>188</v>
      </c>
    </row>
    <row r="224" spans="1:2" hidden="1" x14ac:dyDescent="0.35">
      <c r="A224" s="46" t="s">
        <v>135</v>
      </c>
      <c r="B224" s="45" t="s">
        <v>1</v>
      </c>
    </row>
    <row r="225" spans="1:2" hidden="1" x14ac:dyDescent="0.35">
      <c r="A225" s="46" t="s">
        <v>189</v>
      </c>
      <c r="B225" s="45" t="s">
        <v>67</v>
      </c>
    </row>
    <row r="226" spans="1:2" hidden="1" x14ac:dyDescent="0.35">
      <c r="A226" s="46" t="s">
        <v>2</v>
      </c>
      <c r="B226" s="45" t="s">
        <v>20</v>
      </c>
    </row>
    <row r="227" spans="1:2" hidden="1" x14ac:dyDescent="0.35">
      <c r="A227" s="46" t="s">
        <v>68</v>
      </c>
      <c r="B227" s="45" t="s">
        <v>170</v>
      </c>
    </row>
    <row r="228" spans="1:2" hidden="1" x14ac:dyDescent="0.35">
      <c r="A228" s="46" t="s">
        <v>136</v>
      </c>
      <c r="B228" s="45" t="s">
        <v>223</v>
      </c>
    </row>
    <row r="229" spans="1:2" hidden="1" x14ac:dyDescent="0.35">
      <c r="A229" s="46" t="s">
        <v>190</v>
      </c>
      <c r="B229" s="45" t="s">
        <v>103</v>
      </c>
    </row>
    <row r="230" spans="1:2" hidden="1" x14ac:dyDescent="0.35">
      <c r="A230" s="46" t="s">
        <v>3</v>
      </c>
      <c r="B230" s="45" t="s">
        <v>104</v>
      </c>
    </row>
    <row r="231" spans="1:2" hidden="1" x14ac:dyDescent="0.35">
      <c r="A231" s="46" t="s">
        <v>69</v>
      </c>
      <c r="B231" s="45" t="s">
        <v>88</v>
      </c>
    </row>
    <row r="232" spans="1:2" hidden="1" x14ac:dyDescent="0.35">
      <c r="A232" s="46" t="s">
        <v>191</v>
      </c>
      <c r="B232" s="45" t="s">
        <v>171</v>
      </c>
    </row>
    <row r="233" spans="1:2" hidden="1" x14ac:dyDescent="0.35">
      <c r="A233" s="46" t="s">
        <v>4</v>
      </c>
      <c r="B233" s="45" t="s">
        <v>5</v>
      </c>
    </row>
    <row r="234" spans="1:2" hidden="1" x14ac:dyDescent="0.35">
      <c r="A234" s="46" t="s">
        <v>70</v>
      </c>
      <c r="B234" s="45" t="s">
        <v>105</v>
      </c>
    </row>
    <row r="235" spans="1:2" hidden="1" x14ac:dyDescent="0.3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9"/>
  <sheetViews>
    <sheetView workbookViewId="0">
      <selection activeCell="I15" sqref="I15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3" customWidth="1"/>
    <col min="6" max="6" width="15.1796875" style="13" customWidth="1"/>
  </cols>
  <sheetData>
    <row r="1" spans="1:9" x14ac:dyDescent="0.35">
      <c r="A1" t="s">
        <v>242</v>
      </c>
    </row>
    <row r="3" spans="1:9" ht="26" x14ac:dyDescent="0.6">
      <c r="A3" s="37" t="s">
        <v>161</v>
      </c>
      <c r="C3" s="48" t="s">
        <v>220</v>
      </c>
    </row>
    <row r="4" spans="1:9" ht="15.5" x14ac:dyDescent="0.35">
      <c r="A4" t="s">
        <v>52</v>
      </c>
      <c r="C4" s="82" t="str">
        <f>CONCATENATE(B182," ",B183)</f>
        <v>November -  Desember  2024</v>
      </c>
    </row>
    <row r="5" spans="1:9" ht="15.5" x14ac:dyDescent="0.35">
      <c r="A5" s="1">
        <v>1</v>
      </c>
      <c r="B5" s="1" t="s">
        <v>230</v>
      </c>
      <c r="C5" s="1"/>
      <c r="D5" s="1"/>
      <c r="E5" s="179" t="s">
        <v>240</v>
      </c>
      <c r="F5" s="180" t="s">
        <v>241</v>
      </c>
      <c r="G5" s="180" t="s">
        <v>241</v>
      </c>
      <c r="H5" s="180" t="s">
        <v>241</v>
      </c>
      <c r="I5" s="180" t="s">
        <v>241</v>
      </c>
    </row>
    <row r="6" spans="1:9" ht="15" thickBot="1" x14ac:dyDescent="0.4"/>
    <row r="7" spans="1:9" s="1" customFormat="1" ht="15" thickTop="1" x14ac:dyDescent="0.35">
      <c r="A7" s="47"/>
      <c r="B7" s="33"/>
      <c r="C7" s="66" t="s">
        <v>160</v>
      </c>
      <c r="D7" s="71" t="s">
        <v>160</v>
      </c>
      <c r="E7" s="52" t="s">
        <v>17</v>
      </c>
      <c r="F7" s="81" t="s">
        <v>17</v>
      </c>
    </row>
    <row r="8" spans="1:9" s="1" customFormat="1" ht="15" thickBot="1" x14ac:dyDescent="0.4">
      <c r="A8" s="27"/>
      <c r="B8" s="17"/>
      <c r="C8" s="77" t="s">
        <v>18</v>
      </c>
      <c r="D8" s="79" t="s">
        <v>185</v>
      </c>
      <c r="E8" s="55" t="s">
        <v>18</v>
      </c>
      <c r="F8" s="80" t="s">
        <v>185</v>
      </c>
    </row>
    <row r="9" spans="1:9" s="1" customFormat="1" x14ac:dyDescent="0.35">
      <c r="A9" s="7" t="s">
        <v>0</v>
      </c>
      <c r="C9" s="70"/>
      <c r="D9" s="78"/>
      <c r="E9" s="58"/>
      <c r="F9" s="69"/>
    </row>
    <row r="10" spans="1:9" x14ac:dyDescent="0.35">
      <c r="A10" s="3">
        <v>3000</v>
      </c>
      <c r="B10" t="s">
        <v>162</v>
      </c>
      <c r="C10" s="29">
        <f t="shared" ref="C10:C11" si="0">0</f>
        <v>0</v>
      </c>
      <c r="D10" s="30">
        <f>0</f>
        <v>0</v>
      </c>
      <c r="E10" s="18">
        <f>--52000</f>
        <v>52000</v>
      </c>
      <c r="F10" s="31">
        <f>0</f>
        <v>0</v>
      </c>
    </row>
    <row r="11" spans="1:9" x14ac:dyDescent="0.35">
      <c r="A11" s="3">
        <v>3210</v>
      </c>
      <c r="B11" t="s">
        <v>148</v>
      </c>
      <c r="C11" s="29">
        <f t="shared" si="0"/>
        <v>0</v>
      </c>
      <c r="D11" s="30">
        <f>--115720</f>
        <v>115720</v>
      </c>
      <c r="E11" s="18">
        <f>--22932</f>
        <v>22932</v>
      </c>
      <c r="F11" s="31">
        <f>--129737</f>
        <v>129737</v>
      </c>
    </row>
    <row r="12" spans="1:9" x14ac:dyDescent="0.35">
      <c r="A12" s="3">
        <v>3390</v>
      </c>
      <c r="B12" t="s">
        <v>72</v>
      </c>
      <c r="C12" s="29">
        <f>--15300</f>
        <v>15300</v>
      </c>
      <c r="D12" s="30">
        <f t="shared" ref="D12:D16" si="1">0</f>
        <v>0</v>
      </c>
      <c r="E12" s="18">
        <f>--15300</f>
        <v>15300</v>
      </c>
      <c r="F12" s="31">
        <f>0</f>
        <v>0</v>
      </c>
    </row>
    <row r="13" spans="1:9" x14ac:dyDescent="0.35">
      <c r="A13" s="3">
        <v>3400</v>
      </c>
      <c r="B13" t="s">
        <v>6</v>
      </c>
      <c r="C13" s="29">
        <f t="shared" ref="C13:C18" si="2">0</f>
        <v>0</v>
      </c>
      <c r="D13" s="30">
        <f t="shared" si="1"/>
        <v>0</v>
      </c>
      <c r="E13" s="18">
        <f>--72111</f>
        <v>72111</v>
      </c>
      <c r="F13" s="31">
        <f>--56442</f>
        <v>56442</v>
      </c>
    </row>
    <row r="14" spans="1:9" x14ac:dyDescent="0.35">
      <c r="A14" s="3">
        <v>3401</v>
      </c>
      <c r="B14" t="s">
        <v>36</v>
      </c>
      <c r="C14" s="29">
        <f t="shared" si="2"/>
        <v>0</v>
      </c>
      <c r="D14" s="30">
        <f t="shared" si="1"/>
        <v>0</v>
      </c>
      <c r="E14" s="18">
        <f>--129948</f>
        <v>129948</v>
      </c>
      <c r="F14" s="31">
        <f>--21294</f>
        <v>21294</v>
      </c>
    </row>
    <row r="15" spans="1:9" x14ac:dyDescent="0.35">
      <c r="A15" s="3">
        <v>3920</v>
      </c>
      <c r="B15" t="s">
        <v>37</v>
      </c>
      <c r="C15" s="29">
        <f t="shared" si="2"/>
        <v>0</v>
      </c>
      <c r="D15" s="30">
        <f t="shared" si="1"/>
        <v>0</v>
      </c>
      <c r="E15" s="18">
        <f>--77589.34</f>
        <v>77589.34</v>
      </c>
      <c r="F15" s="31">
        <f>--15400</f>
        <v>15400</v>
      </c>
    </row>
    <row r="16" spans="1:9" x14ac:dyDescent="0.35">
      <c r="A16" s="3">
        <v>3921</v>
      </c>
      <c r="B16" t="s">
        <v>23</v>
      </c>
      <c r="C16" s="29">
        <f t="shared" si="2"/>
        <v>0</v>
      </c>
      <c r="D16" s="30">
        <f t="shared" si="1"/>
        <v>0</v>
      </c>
      <c r="E16" s="18">
        <f>--51914.53</f>
        <v>51914.53</v>
      </c>
      <c r="F16" s="31">
        <f>--44907.38</f>
        <v>44907.38</v>
      </c>
    </row>
    <row r="17" spans="1:6" x14ac:dyDescent="0.35">
      <c r="A17" s="3">
        <v>3922</v>
      </c>
      <c r="B17" t="s">
        <v>54</v>
      </c>
      <c r="C17" s="29">
        <f t="shared" si="2"/>
        <v>0</v>
      </c>
      <c r="D17" s="30">
        <f>--9757</f>
        <v>9757</v>
      </c>
      <c r="E17" s="18">
        <f>--27240</f>
        <v>27240</v>
      </c>
      <c r="F17" s="31">
        <f>--53527</f>
        <v>53527</v>
      </c>
    </row>
    <row r="18" spans="1:6" x14ac:dyDescent="0.35">
      <c r="A18" s="3">
        <v>3963</v>
      </c>
      <c r="B18" t="s">
        <v>24</v>
      </c>
      <c r="C18" s="29">
        <f t="shared" si="2"/>
        <v>0</v>
      </c>
      <c r="D18" s="30">
        <f>--7.95</f>
        <v>7.95</v>
      </c>
      <c r="E18" s="18">
        <f>--999.3</f>
        <v>999.3</v>
      </c>
      <c r="F18" s="31">
        <f>-84.48</f>
        <v>-84.48</v>
      </c>
    </row>
    <row r="19" spans="1:6" ht="15" thickBot="1" x14ac:dyDescent="0.4">
      <c r="A19" s="3">
        <v>3992</v>
      </c>
      <c r="B19" t="s">
        <v>151</v>
      </c>
      <c r="C19" s="29">
        <f>--227942</f>
        <v>227942</v>
      </c>
      <c r="D19" s="30">
        <f>--173647</f>
        <v>173647</v>
      </c>
      <c r="E19" s="18">
        <f>--227942</f>
        <v>227942</v>
      </c>
      <c r="F19" s="31">
        <f>--173647</f>
        <v>173647</v>
      </c>
    </row>
    <row r="20" spans="1:6" s="1" customFormat="1" ht="15" thickBot="1" x14ac:dyDescent="0.4">
      <c r="A20" s="20" t="s">
        <v>119</v>
      </c>
      <c r="B20" s="19"/>
      <c r="C20" s="38">
        <f t="shared" ref="C20:F20" si="3">SUM(C10:C19)</f>
        <v>243242</v>
      </c>
      <c r="D20" s="42">
        <f t="shared" si="3"/>
        <v>299131.95</v>
      </c>
      <c r="E20" s="34">
        <f t="shared" si="3"/>
        <v>677976.16999999993</v>
      </c>
      <c r="F20" s="49">
        <f t="shared" si="3"/>
        <v>494869.9</v>
      </c>
    </row>
    <row r="21" spans="1:6" x14ac:dyDescent="0.35">
      <c r="A21" s="3"/>
      <c r="C21" s="10"/>
      <c r="D21" s="9"/>
      <c r="E21" s="5"/>
      <c r="F21" s="11"/>
    </row>
    <row r="22" spans="1:6" s="1" customFormat="1" x14ac:dyDescent="0.35">
      <c r="A22" s="7" t="s">
        <v>221</v>
      </c>
      <c r="C22" s="24"/>
      <c r="D22" s="26"/>
      <c r="E22" s="15"/>
      <c r="F22" s="28"/>
    </row>
    <row r="23" spans="1:6" x14ac:dyDescent="0.35">
      <c r="A23" s="3">
        <v>4200</v>
      </c>
      <c r="B23" t="s">
        <v>122</v>
      </c>
      <c r="C23" s="29">
        <v>21500</v>
      </c>
      <c r="D23" s="30"/>
      <c r="E23" s="18">
        <v>21500</v>
      </c>
      <c r="F23" s="31"/>
    </row>
    <row r="24" spans="1:6" x14ac:dyDescent="0.35">
      <c r="A24" s="3">
        <v>4201</v>
      </c>
      <c r="B24" t="s">
        <v>123</v>
      </c>
      <c r="C24" s="29">
        <v>5500</v>
      </c>
      <c r="D24" s="30"/>
      <c r="E24" s="18">
        <v>15000</v>
      </c>
      <c r="F24" s="31"/>
    </row>
    <row r="25" spans="1:6" x14ac:dyDescent="0.35">
      <c r="A25" s="3">
        <v>4216</v>
      </c>
      <c r="B25" t="s">
        <v>210</v>
      </c>
      <c r="C25" s="29"/>
      <c r="D25" s="30"/>
      <c r="E25" s="18">
        <v>9700</v>
      </c>
      <c r="F25" s="31"/>
    </row>
    <row r="26" spans="1:6" x14ac:dyDescent="0.35">
      <c r="A26" s="3">
        <v>6490</v>
      </c>
      <c r="B26" t="s">
        <v>166</v>
      </c>
      <c r="C26" s="29"/>
      <c r="D26" s="30"/>
      <c r="E26" s="18"/>
      <c r="F26" s="31">
        <v>1222.04</v>
      </c>
    </row>
    <row r="27" spans="1:6" x14ac:dyDescent="0.35">
      <c r="A27" s="3">
        <v>6553</v>
      </c>
      <c r="B27" t="s">
        <v>93</v>
      </c>
      <c r="C27" s="29">
        <v>752.4</v>
      </c>
      <c r="D27" s="30">
        <v>1605.6</v>
      </c>
      <c r="E27" s="18">
        <v>8506.2999999999993</v>
      </c>
      <c r="F27" s="31">
        <v>9706.8140000000003</v>
      </c>
    </row>
    <row r="28" spans="1:6" x14ac:dyDescent="0.35">
      <c r="A28" s="3">
        <v>6705</v>
      </c>
      <c r="B28" t="s">
        <v>153</v>
      </c>
      <c r="C28" s="29">
        <v>2702.48</v>
      </c>
      <c r="D28" s="30">
        <v>17762.400000000001</v>
      </c>
      <c r="E28" s="18">
        <v>153033.712</v>
      </c>
      <c r="F28" s="31">
        <v>105554.746</v>
      </c>
    </row>
    <row r="29" spans="1:6" x14ac:dyDescent="0.35">
      <c r="A29" s="3">
        <v>6860</v>
      </c>
      <c r="B29" t="s">
        <v>127</v>
      </c>
      <c r="C29" s="29"/>
      <c r="D29" s="30"/>
      <c r="E29" s="18">
        <v>1455</v>
      </c>
      <c r="F29" s="31">
        <v>1455</v>
      </c>
    </row>
    <row r="30" spans="1:6" x14ac:dyDescent="0.35">
      <c r="A30" s="3">
        <v>6890</v>
      </c>
      <c r="B30" t="s">
        <v>174</v>
      </c>
      <c r="C30" s="29"/>
      <c r="D30" s="30"/>
      <c r="E30" s="18">
        <v>8025.6</v>
      </c>
      <c r="F30" s="31">
        <v>8135.04</v>
      </c>
    </row>
    <row r="31" spans="1:6" x14ac:dyDescent="0.35">
      <c r="A31" s="3">
        <v>6940</v>
      </c>
      <c r="B31" t="s">
        <v>40</v>
      </c>
      <c r="C31" s="29"/>
      <c r="D31" s="30"/>
      <c r="E31" s="18">
        <v>1474.01</v>
      </c>
      <c r="F31" s="31"/>
    </row>
    <row r="32" spans="1:6" x14ac:dyDescent="0.35">
      <c r="A32" s="3">
        <v>7410</v>
      </c>
      <c r="B32" t="s">
        <v>176</v>
      </c>
      <c r="C32" s="29">
        <v>9570</v>
      </c>
      <c r="D32" s="30"/>
      <c r="E32" s="18">
        <v>9570</v>
      </c>
      <c r="F32" s="31">
        <v>11140</v>
      </c>
    </row>
    <row r="33" spans="1:6" x14ac:dyDescent="0.35">
      <c r="A33" s="3">
        <v>7420</v>
      </c>
      <c r="B33" t="s">
        <v>53</v>
      </c>
      <c r="C33" s="29"/>
      <c r="D33" s="30"/>
      <c r="E33" s="18">
        <v>4168</v>
      </c>
      <c r="F33" s="31"/>
    </row>
    <row r="34" spans="1:6" x14ac:dyDescent="0.35">
      <c r="A34" s="3">
        <v>7450</v>
      </c>
      <c r="B34" t="s">
        <v>211</v>
      </c>
      <c r="C34" s="29">
        <v>95000</v>
      </c>
      <c r="D34" s="30">
        <v>95000</v>
      </c>
      <c r="E34" s="18">
        <v>95000</v>
      </c>
      <c r="F34" s="31">
        <v>95000</v>
      </c>
    </row>
    <row r="35" spans="1:6" x14ac:dyDescent="0.35">
      <c r="A35" s="3">
        <v>7451</v>
      </c>
      <c r="B35" t="s">
        <v>10</v>
      </c>
      <c r="C35" s="29">
        <v>30000</v>
      </c>
      <c r="D35" s="30">
        <v>30000</v>
      </c>
      <c r="E35" s="18">
        <v>30000</v>
      </c>
      <c r="F35" s="31">
        <v>30000</v>
      </c>
    </row>
    <row r="36" spans="1:6" x14ac:dyDescent="0.35">
      <c r="A36" s="3">
        <v>7510</v>
      </c>
      <c r="B36" t="s">
        <v>200</v>
      </c>
      <c r="C36" s="29">
        <v>8520.3333999999995</v>
      </c>
      <c r="D36" s="30">
        <v>7974.1665999999996</v>
      </c>
      <c r="E36" s="18">
        <v>45663.457000000002</v>
      </c>
      <c r="F36" s="31">
        <v>48063.039599999996</v>
      </c>
    </row>
    <row r="37" spans="1:6" x14ac:dyDescent="0.35">
      <c r="A37" s="3">
        <v>7740</v>
      </c>
      <c r="B37" t="s">
        <v>138</v>
      </c>
      <c r="C37" s="29">
        <v>-0.26</v>
      </c>
      <c r="D37" s="30">
        <v>3.21</v>
      </c>
      <c r="E37" s="18">
        <v>-0.33</v>
      </c>
      <c r="F37" s="31">
        <v>1.84</v>
      </c>
    </row>
    <row r="38" spans="1:6" x14ac:dyDescent="0.35">
      <c r="A38" s="3">
        <v>7770</v>
      </c>
      <c r="B38" t="s">
        <v>80</v>
      </c>
      <c r="C38" s="29">
        <v>4</v>
      </c>
      <c r="D38" s="30"/>
      <c r="E38" s="18">
        <v>-278</v>
      </c>
      <c r="F38" s="31">
        <v>300</v>
      </c>
    </row>
    <row r="39" spans="1:6" ht="15" thickBot="1" x14ac:dyDescent="0.4">
      <c r="A39" s="3">
        <v>7790</v>
      </c>
      <c r="B39" t="s">
        <v>81</v>
      </c>
      <c r="C39" s="29"/>
      <c r="D39" s="30"/>
      <c r="E39" s="18">
        <v>2000</v>
      </c>
      <c r="F39" s="31"/>
    </row>
    <row r="40" spans="1:6" s="1" customFormat="1" ht="15" thickBot="1" x14ac:dyDescent="0.4">
      <c r="A40" s="20" t="s">
        <v>120</v>
      </c>
      <c r="B40" s="19"/>
      <c r="C40" s="38">
        <f t="shared" ref="C40:F40" si="4">SUM(C23:C39)</f>
        <v>173548.9534</v>
      </c>
      <c r="D40" s="42">
        <f t="shared" si="4"/>
        <v>152345.37659999999</v>
      </c>
      <c r="E40" s="34">
        <f t="shared" si="4"/>
        <v>404817.74899999995</v>
      </c>
      <c r="F40" s="49">
        <f t="shared" si="4"/>
        <v>310578.51960000006</v>
      </c>
    </row>
    <row r="41" spans="1:6" x14ac:dyDescent="0.35">
      <c r="A41" s="3"/>
      <c r="C41" s="10"/>
      <c r="D41" s="9"/>
      <c r="E41" s="5"/>
      <c r="F41" s="11"/>
    </row>
    <row r="42" spans="1:6" s="1" customFormat="1" x14ac:dyDescent="0.35">
      <c r="A42" s="7" t="s">
        <v>19</v>
      </c>
      <c r="C42" s="24"/>
      <c r="D42" s="26"/>
      <c r="E42" s="15"/>
      <c r="F42" s="28"/>
    </row>
    <row r="43" spans="1:6" s="1" customFormat="1" x14ac:dyDescent="0.35">
      <c r="A43" s="3">
        <v>8051</v>
      </c>
      <c r="B43" t="s">
        <v>130</v>
      </c>
      <c r="C43" s="29">
        <v>-1589</v>
      </c>
      <c r="D43" s="30">
        <v>-1023</v>
      </c>
      <c r="E43" s="18">
        <v>-1589</v>
      </c>
      <c r="F43" s="31">
        <v>-1023</v>
      </c>
    </row>
    <row r="44" spans="1:6" s="1" customFormat="1" x14ac:dyDescent="0.35">
      <c r="A44" s="3">
        <v>8079</v>
      </c>
      <c r="B44" t="s">
        <v>177</v>
      </c>
      <c r="C44" s="29"/>
      <c r="D44" s="30"/>
      <c r="E44" s="18"/>
      <c r="F44" s="31">
        <v>-4915</v>
      </c>
    </row>
    <row r="45" spans="1:6" x14ac:dyDescent="0.35">
      <c r="A45" s="3">
        <v>8141</v>
      </c>
      <c r="B45" t="s">
        <v>212</v>
      </c>
      <c r="C45" s="29"/>
      <c r="D45" s="30"/>
      <c r="E45" s="18"/>
      <c r="F45" s="31">
        <v>161.69</v>
      </c>
    </row>
    <row r="46" spans="1:6" ht="15" thickBot="1" x14ac:dyDescent="0.4">
      <c r="A46" s="3">
        <v>8155</v>
      </c>
      <c r="B46" t="s">
        <v>11</v>
      </c>
      <c r="C46" s="29"/>
      <c r="D46" s="30"/>
      <c r="E46" s="18"/>
      <c r="F46" s="31">
        <v>209</v>
      </c>
    </row>
    <row r="47" spans="1:6" s="1" customFormat="1" x14ac:dyDescent="0.35">
      <c r="A47" s="54" t="s">
        <v>34</v>
      </c>
      <c r="B47" s="56"/>
      <c r="C47" s="50">
        <f t="shared" ref="C47:F47" si="5">SUM(C43:C44)+SUM(C45:C46)</f>
        <v>-1589</v>
      </c>
      <c r="D47" s="39">
        <f t="shared" si="5"/>
        <v>-1023</v>
      </c>
      <c r="E47" s="36">
        <f t="shared" si="5"/>
        <v>-1589</v>
      </c>
      <c r="F47" s="41">
        <f t="shared" si="5"/>
        <v>-5567.31</v>
      </c>
    </row>
    <row r="48" spans="1:6" x14ac:dyDescent="0.35">
      <c r="A48" s="3"/>
      <c r="C48" s="10"/>
      <c r="D48" s="9"/>
      <c r="E48" s="5"/>
      <c r="F48" s="11"/>
    </row>
    <row r="49" spans="1:6" s="1" customFormat="1" ht="15" thickBot="1" x14ac:dyDescent="0.4">
      <c r="A49" s="27" t="s">
        <v>86</v>
      </c>
      <c r="B49" s="17"/>
      <c r="C49" s="87">
        <f t="shared" ref="C49:F49" si="6">C20-C40-C47</f>
        <v>71282.046600000001</v>
      </c>
      <c r="D49" s="83">
        <f t="shared" si="6"/>
        <v>147809.57340000002</v>
      </c>
      <c r="E49" s="63">
        <f t="shared" si="6"/>
        <v>274747.42099999997</v>
      </c>
      <c r="F49" s="88">
        <f t="shared" si="6"/>
        <v>189858.69039999996</v>
      </c>
    </row>
    <row r="50" spans="1:6" x14ac:dyDescent="0.35">
      <c r="A50" s="3"/>
      <c r="C50" s="10"/>
      <c r="D50" s="9"/>
      <c r="E50" s="5"/>
      <c r="F50" s="11"/>
    </row>
    <row r="51" spans="1:6" s="1" customFormat="1" x14ac:dyDescent="0.35">
      <c r="A51" s="7" t="s">
        <v>49</v>
      </c>
      <c r="C51" s="24"/>
      <c r="D51" s="26"/>
      <c r="E51" s="15"/>
      <c r="F51" s="28"/>
    </row>
    <row r="52" spans="1:6" ht="15" thickBot="1" x14ac:dyDescent="0.4">
      <c r="A52" s="3">
        <v>8960</v>
      </c>
      <c r="B52" t="s">
        <v>158</v>
      </c>
      <c r="C52" s="29">
        <v>527419</v>
      </c>
      <c r="D52" s="30"/>
      <c r="E52" s="18">
        <v>527419</v>
      </c>
      <c r="F52" s="31"/>
    </row>
    <row r="53" spans="1:6" x14ac:dyDescent="0.35">
      <c r="A53" s="57" t="s">
        <v>87</v>
      </c>
      <c r="B53" s="53"/>
      <c r="C53" s="50">
        <f t="shared" ref="C53:F53" si="7">SUM(C52)</f>
        <v>527419</v>
      </c>
      <c r="D53" s="39">
        <f t="shared" si="7"/>
        <v>0</v>
      </c>
      <c r="E53" s="36">
        <f t="shared" si="7"/>
        <v>527419</v>
      </c>
      <c r="F53" s="41">
        <f t="shared" si="7"/>
        <v>0</v>
      </c>
    </row>
    <row r="54" spans="1:6" x14ac:dyDescent="0.35">
      <c r="A54" s="3"/>
      <c r="C54" s="10"/>
      <c r="D54" s="9"/>
      <c r="E54" s="5"/>
      <c r="F54" s="11"/>
    </row>
    <row r="55" spans="1:6" s="1" customFormat="1" ht="15" thickBot="1" x14ac:dyDescent="0.4">
      <c r="A55" s="60" t="s">
        <v>147</v>
      </c>
      <c r="B55" s="59"/>
      <c r="C55" s="84">
        <f t="shared" ref="C55:F55" si="8">C49-C53</f>
        <v>-456136.9534</v>
      </c>
      <c r="D55" s="86">
        <f t="shared" si="8"/>
        <v>147809.57340000002</v>
      </c>
      <c r="E55" s="72">
        <f t="shared" si="8"/>
        <v>-252671.57900000003</v>
      </c>
      <c r="F55" s="85">
        <f t="shared" si="8"/>
        <v>189858.69039999996</v>
      </c>
    </row>
    <row r="56" spans="1:6" ht="15" thickTop="1" x14ac:dyDescent="0.35"/>
    <row r="181" spans="1:2" hidden="1" x14ac:dyDescent="0.35"/>
    <row r="182" spans="1:2" hidden="1" x14ac:dyDescent="0.35">
      <c r="B182" t="str">
        <f>VLOOKUP(RIGHT(202411,2),MANED3,2,FALSE)&amp;" - "</f>
        <v xml:space="preserve">November - </v>
      </c>
    </row>
    <row r="183" spans="1:2" hidden="1" x14ac:dyDescent="0.35">
      <c r="B183" t="str">
        <f>VLOOKUP(RIGHT(202412,2),MANED3,2,FALSE)&amp;"  "&amp;LEFT(202412,4)</f>
        <v>Desember  2024</v>
      </c>
    </row>
    <row r="184" spans="1:2" hidden="1" x14ac:dyDescent="0.35"/>
    <row r="185" spans="1:2" hidden="1" x14ac:dyDescent="0.35"/>
    <row r="186" spans="1:2" hidden="1" x14ac:dyDescent="0.35"/>
    <row r="187" spans="1:2" hidden="1" x14ac:dyDescent="0.35">
      <c r="A187" s="46" t="s">
        <v>66</v>
      </c>
      <c r="B187" s="45" t="s">
        <v>188</v>
      </c>
    </row>
    <row r="188" spans="1:2" hidden="1" x14ac:dyDescent="0.35">
      <c r="A188" s="46" t="s">
        <v>135</v>
      </c>
      <c r="B188" s="45" t="s">
        <v>1</v>
      </c>
    </row>
    <row r="189" spans="1:2" hidden="1" x14ac:dyDescent="0.35">
      <c r="A189" s="46" t="s">
        <v>189</v>
      </c>
      <c r="B189" s="45" t="s">
        <v>67</v>
      </c>
    </row>
    <row r="190" spans="1:2" hidden="1" x14ac:dyDescent="0.35">
      <c r="A190" s="46" t="s">
        <v>2</v>
      </c>
      <c r="B190" s="45" t="s">
        <v>20</v>
      </c>
    </row>
    <row r="191" spans="1:2" hidden="1" x14ac:dyDescent="0.35">
      <c r="A191" s="46" t="s">
        <v>68</v>
      </c>
      <c r="B191" s="45" t="s">
        <v>170</v>
      </c>
    </row>
    <row r="192" spans="1:2" hidden="1" x14ac:dyDescent="0.35">
      <c r="A192" s="46" t="s">
        <v>136</v>
      </c>
      <c r="B192" s="45" t="s">
        <v>223</v>
      </c>
    </row>
    <row r="193" spans="1:2" hidden="1" x14ac:dyDescent="0.35">
      <c r="A193" s="46" t="s">
        <v>190</v>
      </c>
      <c r="B193" s="45" t="s">
        <v>103</v>
      </c>
    </row>
    <row r="194" spans="1:2" hidden="1" x14ac:dyDescent="0.35">
      <c r="A194" s="46" t="s">
        <v>3</v>
      </c>
      <c r="B194" s="45" t="s">
        <v>104</v>
      </c>
    </row>
    <row r="195" spans="1:2" hidden="1" x14ac:dyDescent="0.35">
      <c r="A195" s="46" t="s">
        <v>69</v>
      </c>
      <c r="B195" s="45" t="s">
        <v>88</v>
      </c>
    </row>
    <row r="196" spans="1:2" hidden="1" x14ac:dyDescent="0.35">
      <c r="A196" s="46" t="s">
        <v>191</v>
      </c>
      <c r="B196" s="45" t="s">
        <v>171</v>
      </c>
    </row>
    <row r="197" spans="1:2" hidden="1" x14ac:dyDescent="0.35">
      <c r="A197" s="46" t="s">
        <v>4</v>
      </c>
      <c r="B197" s="45" t="s">
        <v>5</v>
      </c>
    </row>
    <row r="198" spans="1:2" hidden="1" x14ac:dyDescent="0.35">
      <c r="A198" s="46" t="s">
        <v>70</v>
      </c>
      <c r="B198" s="45" t="s">
        <v>105</v>
      </c>
    </row>
    <row r="199" spans="1:2" hidden="1" x14ac:dyDescent="0.3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9"/>
  <sheetViews>
    <sheetView topLeftCell="A8" workbookViewId="0">
      <selection activeCell="E26" sqref="E26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3" customWidth="1"/>
    <col min="6" max="6" width="15.1796875" style="13" customWidth="1"/>
  </cols>
  <sheetData>
    <row r="1" spans="1:9" x14ac:dyDescent="0.35">
      <c r="A1" t="s">
        <v>242</v>
      </c>
    </row>
    <row r="3" spans="1:9" ht="26" x14ac:dyDescent="0.6">
      <c r="A3" s="37" t="s">
        <v>161</v>
      </c>
      <c r="C3" s="48" t="s">
        <v>220</v>
      </c>
    </row>
    <row r="4" spans="1:9" ht="15.5" x14ac:dyDescent="0.35">
      <c r="A4" t="s">
        <v>52</v>
      </c>
      <c r="C4" s="82" t="str">
        <f>CONCATENATE(B202," ",B203)</f>
        <v>November -  Desember  2024</v>
      </c>
    </row>
    <row r="5" spans="1:9" ht="15.5" x14ac:dyDescent="0.35">
      <c r="A5" s="1">
        <v>3</v>
      </c>
      <c r="B5" s="1" t="s">
        <v>33</v>
      </c>
      <c r="C5" s="1"/>
      <c r="D5" s="1"/>
      <c r="E5" s="179" t="s">
        <v>240</v>
      </c>
      <c r="F5" s="180" t="s">
        <v>241</v>
      </c>
      <c r="G5" s="180" t="s">
        <v>241</v>
      </c>
      <c r="H5" s="180" t="s">
        <v>241</v>
      </c>
      <c r="I5" s="180" t="s">
        <v>241</v>
      </c>
    </row>
    <row r="6" spans="1:9" ht="15" thickBot="1" x14ac:dyDescent="0.4"/>
    <row r="7" spans="1:9" s="1" customFormat="1" ht="15" thickTop="1" x14ac:dyDescent="0.35">
      <c r="A7" s="47"/>
      <c r="B7" s="33"/>
      <c r="C7" s="66" t="s">
        <v>160</v>
      </c>
      <c r="D7" s="71" t="s">
        <v>160</v>
      </c>
      <c r="E7" s="52" t="s">
        <v>17</v>
      </c>
      <c r="F7" s="81" t="s">
        <v>17</v>
      </c>
    </row>
    <row r="8" spans="1:9" s="1" customFormat="1" ht="15" thickBot="1" x14ac:dyDescent="0.4">
      <c r="A8" s="27"/>
      <c r="B8" s="17"/>
      <c r="C8" s="77" t="s">
        <v>18</v>
      </c>
      <c r="D8" s="79" t="s">
        <v>185</v>
      </c>
      <c r="E8" s="55" t="s">
        <v>18</v>
      </c>
      <c r="F8" s="80" t="s">
        <v>185</v>
      </c>
    </row>
    <row r="9" spans="1:9" s="1" customFormat="1" x14ac:dyDescent="0.35">
      <c r="A9" s="7" t="s">
        <v>0</v>
      </c>
      <c r="C9" s="70"/>
      <c r="D9" s="78"/>
      <c r="E9" s="58"/>
      <c r="F9" s="69"/>
    </row>
    <row r="10" spans="1:9" x14ac:dyDescent="0.35">
      <c r="A10" s="3">
        <v>3010</v>
      </c>
      <c r="B10" t="s">
        <v>106</v>
      </c>
      <c r="C10" s="29">
        <f>--11200</f>
        <v>11200</v>
      </c>
      <c r="D10" s="30">
        <f>0</f>
        <v>0</v>
      </c>
      <c r="E10" s="18">
        <f>--11200</f>
        <v>11200</v>
      </c>
      <c r="F10" s="31">
        <f>0</f>
        <v>0</v>
      </c>
    </row>
    <row r="11" spans="1:9" x14ac:dyDescent="0.35">
      <c r="A11" s="3">
        <v>3020</v>
      </c>
      <c r="B11" t="s">
        <v>207</v>
      </c>
      <c r="C11" s="29">
        <f>--106000</f>
        <v>106000</v>
      </c>
      <c r="D11" s="30">
        <f>--9000</f>
        <v>9000</v>
      </c>
      <c r="E11" s="18">
        <f>--131000</f>
        <v>131000</v>
      </c>
      <c r="F11" s="31">
        <f>--104500</f>
        <v>104500</v>
      </c>
    </row>
    <row r="12" spans="1:9" x14ac:dyDescent="0.35">
      <c r="A12" s="3">
        <v>3121</v>
      </c>
      <c r="B12" t="s">
        <v>163</v>
      </c>
      <c r="C12" s="29">
        <f t="shared" ref="C12:D15" si="0">0</f>
        <v>0</v>
      </c>
      <c r="D12" s="30">
        <f t="shared" si="0"/>
        <v>0</v>
      </c>
      <c r="E12" s="18">
        <f>--45000</f>
        <v>45000</v>
      </c>
      <c r="F12" s="31">
        <f>--96000</f>
        <v>96000</v>
      </c>
    </row>
    <row r="13" spans="1:9" x14ac:dyDescent="0.35">
      <c r="A13" s="3">
        <v>3200</v>
      </c>
      <c r="B13" t="s">
        <v>208</v>
      </c>
      <c r="C13" s="29">
        <f t="shared" si="0"/>
        <v>0</v>
      </c>
      <c r="D13" s="30">
        <f t="shared" si="0"/>
        <v>0</v>
      </c>
      <c r="E13" s="18">
        <f>--10393</f>
        <v>10393</v>
      </c>
      <c r="F13" s="31">
        <f>--12890</f>
        <v>12890</v>
      </c>
    </row>
    <row r="14" spans="1:9" x14ac:dyDescent="0.35">
      <c r="A14" s="3">
        <v>3400</v>
      </c>
      <c r="B14" t="s">
        <v>6</v>
      </c>
      <c r="C14" s="29">
        <f t="shared" si="0"/>
        <v>0</v>
      </c>
      <c r="D14" s="30">
        <f t="shared" si="0"/>
        <v>0</v>
      </c>
      <c r="E14" s="18">
        <f>0</f>
        <v>0</v>
      </c>
      <c r="F14" s="31">
        <f>--70000</f>
        <v>70000</v>
      </c>
    </row>
    <row r="15" spans="1:9" x14ac:dyDescent="0.35">
      <c r="A15" s="3">
        <v>3405</v>
      </c>
      <c r="B15" t="s">
        <v>164</v>
      </c>
      <c r="C15" s="29">
        <f t="shared" si="0"/>
        <v>0</v>
      </c>
      <c r="D15" s="30">
        <f t="shared" si="0"/>
        <v>0</v>
      </c>
      <c r="E15" s="18">
        <f>--105000</f>
        <v>105000</v>
      </c>
      <c r="F15" s="31">
        <f t="shared" ref="F15:F16" si="1">0</f>
        <v>0</v>
      </c>
    </row>
    <row r="16" spans="1:9" x14ac:dyDescent="0.35">
      <c r="A16" s="3">
        <v>3406</v>
      </c>
      <c r="B16" t="s">
        <v>53</v>
      </c>
      <c r="C16" s="29">
        <f>--6000</f>
        <v>6000</v>
      </c>
      <c r="D16" s="30">
        <f>0</f>
        <v>0</v>
      </c>
      <c r="E16" s="18">
        <f>--6000</f>
        <v>6000</v>
      </c>
      <c r="F16" s="31">
        <f t="shared" si="1"/>
        <v>0</v>
      </c>
    </row>
    <row r="17" spans="1:6" x14ac:dyDescent="0.35">
      <c r="A17" s="3">
        <v>3930</v>
      </c>
      <c r="B17" t="s">
        <v>55</v>
      </c>
      <c r="C17" s="29">
        <f t="shared" ref="C17:C22" si="2">0</f>
        <v>0</v>
      </c>
      <c r="D17" s="30">
        <f>--25854</f>
        <v>25854</v>
      </c>
      <c r="E17" s="18">
        <f>--40400</f>
        <v>40400</v>
      </c>
      <c r="F17" s="31">
        <f>--90959</f>
        <v>90959</v>
      </c>
    </row>
    <row r="18" spans="1:6" x14ac:dyDescent="0.35">
      <c r="A18" s="3">
        <v>3932</v>
      </c>
      <c r="B18" t="s">
        <v>209</v>
      </c>
      <c r="C18" s="29">
        <f t="shared" si="2"/>
        <v>0</v>
      </c>
      <c r="D18" s="30">
        <f t="shared" ref="D18:E18" si="3">0</f>
        <v>0</v>
      </c>
      <c r="E18" s="18">
        <f t="shared" si="3"/>
        <v>0</v>
      </c>
      <c r="F18" s="31">
        <f>--37368</f>
        <v>37368</v>
      </c>
    </row>
    <row r="19" spans="1:6" x14ac:dyDescent="0.35">
      <c r="A19" s="3">
        <v>3934</v>
      </c>
      <c r="B19" t="s">
        <v>149</v>
      </c>
      <c r="C19" s="29">
        <f t="shared" si="2"/>
        <v>0</v>
      </c>
      <c r="D19" s="30">
        <f>--485.05</f>
        <v>485.05</v>
      </c>
      <c r="E19" s="18">
        <f>--182426.39</f>
        <v>182426.39</v>
      </c>
      <c r="F19" s="31">
        <f>--87185.23</f>
        <v>87185.23</v>
      </c>
    </row>
    <row r="20" spans="1:6" x14ac:dyDescent="0.35">
      <c r="A20" s="3">
        <v>3960</v>
      </c>
      <c r="B20" t="s">
        <v>73</v>
      </c>
      <c r="C20" s="29">
        <f t="shared" si="2"/>
        <v>0</v>
      </c>
      <c r="D20" s="30">
        <f t="shared" ref="D20:D22" si="4">0</f>
        <v>0</v>
      </c>
      <c r="E20" s="18">
        <f>0</f>
        <v>0</v>
      </c>
      <c r="F20" s="31">
        <f>--12960</f>
        <v>12960</v>
      </c>
    </row>
    <row r="21" spans="1:6" x14ac:dyDescent="0.35">
      <c r="A21" s="3">
        <v>3962</v>
      </c>
      <c r="B21" t="s">
        <v>231</v>
      </c>
      <c r="C21" s="29">
        <f t="shared" si="2"/>
        <v>0</v>
      </c>
      <c r="D21" s="30">
        <f t="shared" si="4"/>
        <v>0</v>
      </c>
      <c r="E21" s="18">
        <f t="shared" ref="E21:F21" si="5">--55000</f>
        <v>55000</v>
      </c>
      <c r="F21" s="31">
        <f t="shared" si="5"/>
        <v>55000</v>
      </c>
    </row>
    <row r="22" spans="1:6" x14ac:dyDescent="0.35">
      <c r="A22" s="3">
        <v>3963</v>
      </c>
      <c r="B22" t="s">
        <v>24</v>
      </c>
      <c r="C22" s="29">
        <f t="shared" si="2"/>
        <v>0</v>
      </c>
      <c r="D22" s="30">
        <f t="shared" si="4"/>
        <v>0</v>
      </c>
      <c r="E22" s="18">
        <f>--506.38</f>
        <v>506.38</v>
      </c>
      <c r="F22" s="31">
        <f>0</f>
        <v>0</v>
      </c>
    </row>
    <row r="23" spans="1:6" x14ac:dyDescent="0.35">
      <c r="A23" s="3">
        <v>3991</v>
      </c>
      <c r="B23" t="s">
        <v>25</v>
      </c>
      <c r="C23" s="29">
        <f t="shared" ref="C23:F23" si="6">--95000</f>
        <v>95000</v>
      </c>
      <c r="D23" s="30">
        <f t="shared" si="6"/>
        <v>95000</v>
      </c>
      <c r="E23" s="18">
        <f t="shared" si="6"/>
        <v>95000</v>
      </c>
      <c r="F23" s="31">
        <f t="shared" si="6"/>
        <v>95000</v>
      </c>
    </row>
    <row r="24" spans="1:6" x14ac:dyDescent="0.35">
      <c r="A24" s="3">
        <v>3996</v>
      </c>
      <c r="B24" t="s">
        <v>121</v>
      </c>
      <c r="C24" s="29">
        <f t="shared" ref="C24:E25" si="7">0</f>
        <v>0</v>
      </c>
      <c r="D24" s="30">
        <f t="shared" si="7"/>
        <v>0</v>
      </c>
      <c r="E24" s="18">
        <f t="shared" si="7"/>
        <v>0</v>
      </c>
      <c r="F24" s="31">
        <f>--9375</f>
        <v>9375</v>
      </c>
    </row>
    <row r="25" spans="1:6" ht="15" thickBot="1" x14ac:dyDescent="0.4">
      <c r="A25" s="3">
        <v>3999</v>
      </c>
      <c r="B25" t="s">
        <v>56</v>
      </c>
      <c r="C25" s="29">
        <f t="shared" si="7"/>
        <v>0</v>
      </c>
      <c r="D25" s="30">
        <f t="shared" si="7"/>
        <v>0</v>
      </c>
      <c r="E25" s="18">
        <f t="shared" si="7"/>
        <v>0</v>
      </c>
      <c r="F25" s="31">
        <f>--30</f>
        <v>30</v>
      </c>
    </row>
    <row r="26" spans="1:6" s="1" customFormat="1" ht="15" thickBot="1" x14ac:dyDescent="0.4">
      <c r="A26" s="20" t="s">
        <v>119</v>
      </c>
      <c r="B26" s="19"/>
      <c r="C26" s="38">
        <f t="shared" ref="C26:F26" si="8">SUM(C10:C25)</f>
        <v>218200</v>
      </c>
      <c r="D26" s="42">
        <f t="shared" si="8"/>
        <v>130339.05</v>
      </c>
      <c r="E26" s="34">
        <f t="shared" si="8"/>
        <v>681925.77</v>
      </c>
      <c r="F26" s="49">
        <f t="shared" si="8"/>
        <v>671267.23</v>
      </c>
    </row>
    <row r="27" spans="1:6" x14ac:dyDescent="0.35">
      <c r="A27" s="3"/>
      <c r="C27" s="10"/>
      <c r="D27" s="9"/>
      <c r="E27" s="5"/>
      <c r="F27" s="11"/>
    </row>
    <row r="28" spans="1:6" s="1" customFormat="1" x14ac:dyDescent="0.35">
      <c r="A28" s="7" t="s">
        <v>221</v>
      </c>
      <c r="C28" s="24"/>
      <c r="D28" s="26"/>
      <c r="E28" s="15"/>
      <c r="F28" s="28"/>
    </row>
    <row r="29" spans="1:6" x14ac:dyDescent="0.35">
      <c r="A29" s="3">
        <v>4201</v>
      </c>
      <c r="B29" t="s">
        <v>123</v>
      </c>
      <c r="C29" s="29"/>
      <c r="D29" s="30"/>
      <c r="E29" s="18">
        <v>2400</v>
      </c>
      <c r="F29" s="31">
        <v>25747.25</v>
      </c>
    </row>
    <row r="30" spans="1:6" x14ac:dyDescent="0.35">
      <c r="A30" s="3">
        <v>4206</v>
      </c>
      <c r="B30" t="s">
        <v>193</v>
      </c>
      <c r="C30" s="29"/>
      <c r="D30" s="30"/>
      <c r="E30" s="18">
        <v>1228.73</v>
      </c>
      <c r="F30" s="31">
        <v>1169.51</v>
      </c>
    </row>
    <row r="31" spans="1:6" x14ac:dyDescent="0.35">
      <c r="A31" s="3">
        <v>4210</v>
      </c>
      <c r="B31" t="s">
        <v>107</v>
      </c>
      <c r="C31" s="29">
        <v>62955.25</v>
      </c>
      <c r="D31" s="30">
        <v>15960</v>
      </c>
      <c r="E31" s="18">
        <v>103345.25</v>
      </c>
      <c r="F31" s="31">
        <v>56305</v>
      </c>
    </row>
    <row r="32" spans="1:6" x14ac:dyDescent="0.35">
      <c r="A32" s="3">
        <v>4211</v>
      </c>
      <c r="B32" t="s">
        <v>38</v>
      </c>
      <c r="C32" s="29">
        <v>26390</v>
      </c>
      <c r="D32" s="30">
        <v>1300</v>
      </c>
      <c r="E32" s="18">
        <v>46704.25</v>
      </c>
      <c r="F32" s="31">
        <v>78585</v>
      </c>
    </row>
    <row r="33" spans="1:6" x14ac:dyDescent="0.35">
      <c r="A33" s="3">
        <v>4212</v>
      </c>
      <c r="B33" t="s">
        <v>149</v>
      </c>
      <c r="C33" s="29">
        <v>3338.49</v>
      </c>
      <c r="D33" s="30">
        <v>4667.5</v>
      </c>
      <c r="E33" s="18">
        <v>138354.82</v>
      </c>
      <c r="F33" s="31">
        <v>97777.16</v>
      </c>
    </row>
    <row r="34" spans="1:6" x14ac:dyDescent="0.35">
      <c r="A34" s="3">
        <v>4213</v>
      </c>
      <c r="B34" t="s">
        <v>224</v>
      </c>
      <c r="C34" s="29"/>
      <c r="D34" s="30">
        <v>65000</v>
      </c>
      <c r="E34" s="18">
        <v>58243</v>
      </c>
      <c r="F34" s="31">
        <v>177102</v>
      </c>
    </row>
    <row r="35" spans="1:6" x14ac:dyDescent="0.35">
      <c r="A35" s="3">
        <v>4214</v>
      </c>
      <c r="B35" t="s">
        <v>165</v>
      </c>
      <c r="C35" s="29">
        <v>877.81</v>
      </c>
      <c r="D35" s="30"/>
      <c r="E35" s="18">
        <v>7175.81</v>
      </c>
      <c r="F35" s="31">
        <v>5725</v>
      </c>
    </row>
    <row r="36" spans="1:6" x14ac:dyDescent="0.35">
      <c r="A36" s="3">
        <v>4215</v>
      </c>
      <c r="B36" t="s">
        <v>194</v>
      </c>
      <c r="C36" s="29">
        <v>53835</v>
      </c>
      <c r="D36" s="30">
        <v>8368.3700000000008</v>
      </c>
      <c r="E36" s="18">
        <v>56485</v>
      </c>
      <c r="F36" s="31">
        <v>17570.849999999999</v>
      </c>
    </row>
    <row r="37" spans="1:6" x14ac:dyDescent="0.35">
      <c r="A37" s="3">
        <v>4220</v>
      </c>
      <c r="B37" t="s">
        <v>57</v>
      </c>
      <c r="C37" s="29"/>
      <c r="D37" s="30">
        <v>10000</v>
      </c>
      <c r="E37" s="18">
        <v>25000</v>
      </c>
      <c r="F37" s="31">
        <v>40000</v>
      </c>
    </row>
    <row r="38" spans="1:6" x14ac:dyDescent="0.35">
      <c r="A38" s="3">
        <v>4221</v>
      </c>
      <c r="B38" t="s">
        <v>232</v>
      </c>
      <c r="C38" s="29"/>
      <c r="D38" s="30">
        <v>3815.23</v>
      </c>
      <c r="E38" s="18">
        <v>4948.3599999999997</v>
      </c>
      <c r="F38" s="31">
        <v>16835.330000000002</v>
      </c>
    </row>
    <row r="39" spans="1:6" x14ac:dyDescent="0.35">
      <c r="A39" s="3">
        <v>4400</v>
      </c>
      <c r="B39" t="s">
        <v>75</v>
      </c>
      <c r="C39" s="29"/>
      <c r="D39" s="30"/>
      <c r="E39" s="18">
        <v>1500.56</v>
      </c>
      <c r="F39" s="31">
        <v>411.88</v>
      </c>
    </row>
    <row r="40" spans="1:6" x14ac:dyDescent="0.35">
      <c r="A40" s="3">
        <v>6010</v>
      </c>
      <c r="B40" t="s">
        <v>152</v>
      </c>
      <c r="C40" s="29">
        <v>21805.74</v>
      </c>
      <c r="D40" s="30">
        <v>7268.58</v>
      </c>
      <c r="E40" s="18">
        <v>43611.48</v>
      </c>
      <c r="F40" s="31">
        <v>43611.48</v>
      </c>
    </row>
    <row r="41" spans="1:6" x14ac:dyDescent="0.35">
      <c r="A41" s="3">
        <v>6320</v>
      </c>
      <c r="B41" t="s">
        <v>76</v>
      </c>
      <c r="C41" s="29"/>
      <c r="D41" s="30"/>
      <c r="E41" s="18">
        <v>3652</v>
      </c>
      <c r="F41" s="31">
        <v>8315.2199999999993</v>
      </c>
    </row>
    <row r="42" spans="1:6" x14ac:dyDescent="0.35">
      <c r="A42" s="3">
        <v>6340</v>
      </c>
      <c r="B42" t="s">
        <v>39</v>
      </c>
      <c r="C42" s="29">
        <v>6669.39</v>
      </c>
      <c r="D42" s="30">
        <v>9573.4380000000001</v>
      </c>
      <c r="E42" s="18">
        <v>36896.35</v>
      </c>
      <c r="F42" s="31">
        <v>44613.697999999997</v>
      </c>
    </row>
    <row r="43" spans="1:6" x14ac:dyDescent="0.35">
      <c r="A43" s="3">
        <v>6341</v>
      </c>
      <c r="B43" t="s">
        <v>8</v>
      </c>
      <c r="C43" s="29"/>
      <c r="D43" s="30"/>
      <c r="E43" s="18">
        <v>306.36</v>
      </c>
      <c r="F43" s="31">
        <v>0</v>
      </c>
    </row>
    <row r="44" spans="1:6" x14ac:dyDescent="0.35">
      <c r="A44" s="3">
        <v>6660</v>
      </c>
      <c r="B44" t="s">
        <v>26</v>
      </c>
      <c r="C44" s="29">
        <v>13475.6</v>
      </c>
      <c r="D44" s="30"/>
      <c r="E44" s="18">
        <v>28064.6</v>
      </c>
      <c r="F44" s="31"/>
    </row>
    <row r="45" spans="1:6" x14ac:dyDescent="0.35">
      <c r="A45" s="3">
        <v>6680</v>
      </c>
      <c r="B45" t="s">
        <v>199</v>
      </c>
      <c r="C45" s="29">
        <v>4584</v>
      </c>
      <c r="D45" s="30">
        <v>675.25</v>
      </c>
      <c r="E45" s="18">
        <v>27836.25</v>
      </c>
      <c r="F45" s="31">
        <v>18931.32</v>
      </c>
    </row>
    <row r="46" spans="1:6" x14ac:dyDescent="0.35">
      <c r="A46" s="3">
        <v>6690</v>
      </c>
      <c r="B46" t="s">
        <v>59</v>
      </c>
      <c r="C46" s="29"/>
      <c r="D46" s="30">
        <v>1206.9000000000001</v>
      </c>
      <c r="E46" s="18">
        <v>13486.2</v>
      </c>
      <c r="F46" s="31">
        <v>13121.87</v>
      </c>
    </row>
    <row r="47" spans="1:6" x14ac:dyDescent="0.35">
      <c r="A47" s="3">
        <v>6695</v>
      </c>
      <c r="B47" t="s">
        <v>225</v>
      </c>
      <c r="C47" s="29"/>
      <c r="D47" s="30"/>
      <c r="E47" s="18">
        <v>0</v>
      </c>
      <c r="F47" s="31">
        <v>16083.99</v>
      </c>
    </row>
    <row r="48" spans="1:6" x14ac:dyDescent="0.35">
      <c r="A48" s="3">
        <v>6696</v>
      </c>
      <c r="B48" t="s">
        <v>9</v>
      </c>
      <c r="C48" s="29"/>
      <c r="D48" s="30">
        <v>21582.89</v>
      </c>
      <c r="E48" s="18">
        <v>13213.44</v>
      </c>
      <c r="F48" s="31">
        <v>58932.89</v>
      </c>
    </row>
    <row r="49" spans="1:6" x14ac:dyDescent="0.35">
      <c r="A49" s="3">
        <v>6800</v>
      </c>
      <c r="B49" t="s">
        <v>126</v>
      </c>
      <c r="C49" s="29"/>
      <c r="D49" s="30"/>
      <c r="E49" s="18">
        <v>249.66</v>
      </c>
      <c r="F49" s="31">
        <v>2732.1840000000002</v>
      </c>
    </row>
    <row r="50" spans="1:6" x14ac:dyDescent="0.35">
      <c r="A50" s="3">
        <v>6845</v>
      </c>
      <c r="B50" t="s">
        <v>111</v>
      </c>
      <c r="C50" s="29">
        <v>2275.7939999999999</v>
      </c>
      <c r="D50" s="30">
        <v>1870.7819999999999</v>
      </c>
      <c r="E50" s="18">
        <v>11502.578</v>
      </c>
      <c r="F50" s="31">
        <v>11883.922</v>
      </c>
    </row>
    <row r="51" spans="1:6" x14ac:dyDescent="0.35">
      <c r="A51" s="3">
        <v>6860</v>
      </c>
      <c r="B51" t="s">
        <v>127</v>
      </c>
      <c r="C51" s="29"/>
      <c r="D51" s="30"/>
      <c r="E51" s="18">
        <v>568.70000000000005</v>
      </c>
      <c r="F51" s="31"/>
    </row>
    <row r="52" spans="1:6" x14ac:dyDescent="0.35">
      <c r="A52" s="3">
        <v>6862</v>
      </c>
      <c r="B52" t="s">
        <v>128</v>
      </c>
      <c r="C52" s="29"/>
      <c r="D52" s="30"/>
      <c r="E52" s="18">
        <v>21916</v>
      </c>
      <c r="F52" s="31">
        <v>12781</v>
      </c>
    </row>
    <row r="53" spans="1:6" x14ac:dyDescent="0.35">
      <c r="A53" s="3">
        <v>6900</v>
      </c>
      <c r="B53" t="s">
        <v>175</v>
      </c>
      <c r="C53" s="29">
        <v>99.01</v>
      </c>
      <c r="D53" s="30"/>
      <c r="E53" s="18">
        <v>99.01</v>
      </c>
      <c r="F53" s="31">
        <v>421.71199999999999</v>
      </c>
    </row>
    <row r="54" spans="1:6" x14ac:dyDescent="0.35">
      <c r="A54" s="3">
        <v>6903</v>
      </c>
      <c r="B54" t="s">
        <v>129</v>
      </c>
      <c r="C54" s="29"/>
      <c r="D54" s="30"/>
      <c r="E54" s="18"/>
      <c r="F54" s="31">
        <v>220.76</v>
      </c>
    </row>
    <row r="55" spans="1:6" x14ac:dyDescent="0.35">
      <c r="A55" s="3">
        <v>7420</v>
      </c>
      <c r="B55" t="s">
        <v>53</v>
      </c>
      <c r="C55" s="29"/>
      <c r="D55" s="30"/>
      <c r="E55" s="18">
        <v>2500</v>
      </c>
      <c r="F55" s="31">
        <v>2173</v>
      </c>
    </row>
    <row r="56" spans="1:6" x14ac:dyDescent="0.35">
      <c r="A56" s="3">
        <v>7740</v>
      </c>
      <c r="B56" t="s">
        <v>138</v>
      </c>
      <c r="C56" s="29"/>
      <c r="D56" s="30">
        <v>0.49</v>
      </c>
      <c r="E56" s="18">
        <v>-0.03</v>
      </c>
      <c r="F56" s="31">
        <v>0.6</v>
      </c>
    </row>
    <row r="57" spans="1:6" x14ac:dyDescent="0.35">
      <c r="A57" s="3">
        <v>7770</v>
      </c>
      <c r="B57" t="s">
        <v>80</v>
      </c>
      <c r="C57" s="29">
        <v>4</v>
      </c>
      <c r="D57" s="30">
        <v>4</v>
      </c>
      <c r="E57" s="18">
        <v>24</v>
      </c>
      <c r="F57" s="31">
        <v>725</v>
      </c>
    </row>
    <row r="58" spans="1:6" x14ac:dyDescent="0.35">
      <c r="A58" s="3">
        <v>7780</v>
      </c>
      <c r="B58" t="s">
        <v>27</v>
      </c>
      <c r="C58" s="29"/>
      <c r="D58" s="30"/>
      <c r="E58" s="18">
        <v>310.77999999999997</v>
      </c>
      <c r="F58" s="31">
        <v>382.12</v>
      </c>
    </row>
    <row r="59" spans="1:6" x14ac:dyDescent="0.35">
      <c r="A59" s="3">
        <v>7781</v>
      </c>
      <c r="B59" t="s">
        <v>112</v>
      </c>
      <c r="C59" s="29"/>
      <c r="D59" s="30"/>
      <c r="E59" s="18">
        <v>-246.87</v>
      </c>
      <c r="F59" s="31"/>
    </row>
    <row r="60" spans="1:6" x14ac:dyDescent="0.35">
      <c r="A60" s="3">
        <v>7783</v>
      </c>
      <c r="B60" t="s">
        <v>62</v>
      </c>
      <c r="C60" s="29"/>
      <c r="D60" s="30"/>
      <c r="E60" s="18">
        <v>1066</v>
      </c>
      <c r="F60" s="31">
        <v>904.73</v>
      </c>
    </row>
    <row r="61" spans="1:6" x14ac:dyDescent="0.35">
      <c r="A61" s="3">
        <v>7790</v>
      </c>
      <c r="B61" t="s">
        <v>81</v>
      </c>
      <c r="C61" s="29"/>
      <c r="D61" s="30"/>
      <c r="E61" s="18">
        <v>2310</v>
      </c>
      <c r="F61" s="31">
        <v>123.75</v>
      </c>
    </row>
    <row r="62" spans="1:6" ht="15" thickBot="1" x14ac:dyDescent="0.4">
      <c r="A62" s="3">
        <v>7791</v>
      </c>
      <c r="B62" t="s">
        <v>113</v>
      </c>
      <c r="C62" s="29"/>
      <c r="D62" s="30"/>
      <c r="E62" s="18">
        <v>130</v>
      </c>
      <c r="F62" s="31"/>
    </row>
    <row r="63" spans="1:6" s="1" customFormat="1" ht="15" thickBot="1" x14ac:dyDescent="0.4">
      <c r="A63" s="20" t="s">
        <v>120</v>
      </c>
      <c r="B63" s="19"/>
      <c r="C63" s="38">
        <f t="shared" ref="C63:F63" si="9">SUM(C29:C62)</f>
        <v>196310.084</v>
      </c>
      <c r="D63" s="42">
        <f t="shared" si="9"/>
        <v>151293.43</v>
      </c>
      <c r="E63" s="34">
        <f t="shared" si="9"/>
        <v>652882.28799999983</v>
      </c>
      <c r="F63" s="49">
        <f t="shared" si="9"/>
        <v>753188.22600000002</v>
      </c>
    </row>
    <row r="64" spans="1:6" x14ac:dyDescent="0.35">
      <c r="A64" s="3"/>
      <c r="C64" s="10"/>
      <c r="D64" s="9"/>
      <c r="E64" s="5"/>
      <c r="F64" s="11"/>
    </row>
    <row r="65" spans="1:6" s="1" customFormat="1" x14ac:dyDescent="0.35">
      <c r="A65" s="7" t="s">
        <v>19</v>
      </c>
      <c r="C65" s="24"/>
      <c r="D65" s="26"/>
      <c r="E65" s="15"/>
      <c r="F65" s="28"/>
    </row>
    <row r="66" spans="1:6" s="1" customFormat="1" x14ac:dyDescent="0.35">
      <c r="A66" s="3">
        <v>8051</v>
      </c>
      <c r="B66" t="s">
        <v>130</v>
      </c>
      <c r="C66" s="29">
        <v>-20879</v>
      </c>
      <c r="D66" s="30">
        <v>-10136</v>
      </c>
      <c r="E66" s="18">
        <v>-20879</v>
      </c>
      <c r="F66" s="31">
        <v>-10136</v>
      </c>
    </row>
    <row r="67" spans="1:6" ht="15" thickBot="1" x14ac:dyDescent="0.4">
      <c r="A67" s="3">
        <v>8155</v>
      </c>
      <c r="B67" t="s">
        <v>11</v>
      </c>
      <c r="C67" s="29">
        <v>139.5</v>
      </c>
      <c r="D67" s="30"/>
      <c r="E67" s="18">
        <v>209.5</v>
      </c>
      <c r="F67" s="31">
        <v>646.23</v>
      </c>
    </row>
    <row r="68" spans="1:6" s="1" customFormat="1" x14ac:dyDescent="0.35">
      <c r="A68" s="54" t="s">
        <v>34</v>
      </c>
      <c r="B68" s="56"/>
      <c r="C68" s="50">
        <f t="shared" ref="C68:F68" si="10">SUM(C66)+SUM(C67)</f>
        <v>-20739.5</v>
      </c>
      <c r="D68" s="39">
        <f t="shared" si="10"/>
        <v>-10136</v>
      </c>
      <c r="E68" s="36">
        <f t="shared" si="10"/>
        <v>-20669.5</v>
      </c>
      <c r="F68" s="41">
        <f t="shared" si="10"/>
        <v>-9489.77</v>
      </c>
    </row>
    <row r="69" spans="1:6" x14ac:dyDescent="0.35">
      <c r="A69" s="3"/>
      <c r="C69" s="10"/>
      <c r="D69" s="9"/>
      <c r="E69" s="5"/>
      <c r="F69" s="11"/>
    </row>
    <row r="70" spans="1:6" s="1" customFormat="1" ht="15" thickBot="1" x14ac:dyDescent="0.4">
      <c r="A70" s="27" t="s">
        <v>86</v>
      </c>
      <c r="B70" s="17"/>
      <c r="C70" s="87">
        <f t="shared" ref="C70:F70" si="11">C26-C63-C68</f>
        <v>42629.415999999997</v>
      </c>
      <c r="D70" s="83">
        <f t="shared" si="11"/>
        <v>-10818.37999999999</v>
      </c>
      <c r="E70" s="63">
        <f t="shared" si="11"/>
        <v>49712.982000000193</v>
      </c>
      <c r="F70" s="88">
        <f t="shared" si="11"/>
        <v>-72431.226000000039</v>
      </c>
    </row>
    <row r="71" spans="1:6" x14ac:dyDescent="0.35">
      <c r="A71" s="3"/>
      <c r="C71" s="10"/>
      <c r="D71" s="9"/>
      <c r="E71" s="5"/>
      <c r="F71" s="11"/>
    </row>
    <row r="72" spans="1:6" s="1" customFormat="1" ht="15" thickBot="1" x14ac:dyDescent="0.4">
      <c r="A72" s="7" t="s">
        <v>49</v>
      </c>
      <c r="C72" s="24"/>
      <c r="D72" s="26"/>
      <c r="E72" s="15"/>
      <c r="F72" s="28"/>
    </row>
    <row r="73" spans="1:6" x14ac:dyDescent="0.35">
      <c r="A73" s="57" t="s">
        <v>87</v>
      </c>
      <c r="B73" s="53"/>
      <c r="C73" s="50">
        <f t="shared" ref="C73:F73" si="12">SUM(0)</f>
        <v>0</v>
      </c>
      <c r="D73" s="39">
        <f t="shared" si="12"/>
        <v>0</v>
      </c>
      <c r="E73" s="36">
        <f t="shared" si="12"/>
        <v>0</v>
      </c>
      <c r="F73" s="41">
        <f t="shared" si="12"/>
        <v>0</v>
      </c>
    </row>
    <row r="74" spans="1:6" x14ac:dyDescent="0.35">
      <c r="A74" s="3"/>
      <c r="C74" s="10"/>
      <c r="D74" s="9"/>
      <c r="E74" s="5"/>
      <c r="F74" s="11"/>
    </row>
    <row r="75" spans="1:6" s="1" customFormat="1" ht="15" thickBot="1" x14ac:dyDescent="0.4">
      <c r="A75" s="60" t="s">
        <v>147</v>
      </c>
      <c r="B75" s="59"/>
      <c r="C75" s="84">
        <f t="shared" ref="C75:F75" si="13">C70-C73</f>
        <v>42629.415999999997</v>
      </c>
      <c r="D75" s="86">
        <f t="shared" si="13"/>
        <v>-10818.37999999999</v>
      </c>
      <c r="E75" s="72">
        <f t="shared" si="13"/>
        <v>49712.982000000193</v>
      </c>
      <c r="F75" s="85">
        <f t="shared" si="13"/>
        <v>-72431.226000000039</v>
      </c>
    </row>
    <row r="76" spans="1:6" ht="15" thickTop="1" x14ac:dyDescent="0.35"/>
    <row r="201" spans="1:2" hidden="1" x14ac:dyDescent="0.35"/>
    <row r="202" spans="1:2" hidden="1" x14ac:dyDescent="0.35">
      <c r="B202" t="str">
        <f>VLOOKUP(RIGHT(202411,2),MANED3,2,FALSE)&amp;" - "</f>
        <v xml:space="preserve">November - </v>
      </c>
    </row>
    <row r="203" spans="1:2" hidden="1" x14ac:dyDescent="0.35">
      <c r="B203" t="str">
        <f>VLOOKUP(RIGHT(202412,2),MANED3,2,FALSE)&amp;"  "&amp;LEFT(202412,4)</f>
        <v>Desember  2024</v>
      </c>
    </row>
    <row r="204" spans="1:2" hidden="1" x14ac:dyDescent="0.35"/>
    <row r="205" spans="1:2" hidden="1" x14ac:dyDescent="0.35"/>
    <row r="206" spans="1:2" hidden="1" x14ac:dyDescent="0.35"/>
    <row r="207" spans="1:2" hidden="1" x14ac:dyDescent="0.35">
      <c r="A207" s="46" t="s">
        <v>66</v>
      </c>
      <c r="B207" s="45" t="s">
        <v>188</v>
      </c>
    </row>
    <row r="208" spans="1:2" hidden="1" x14ac:dyDescent="0.35">
      <c r="A208" s="46" t="s">
        <v>135</v>
      </c>
      <c r="B208" s="45" t="s">
        <v>1</v>
      </c>
    </row>
    <row r="209" spans="1:2" hidden="1" x14ac:dyDescent="0.35">
      <c r="A209" s="46" t="s">
        <v>189</v>
      </c>
      <c r="B209" s="45" t="s">
        <v>67</v>
      </c>
    </row>
    <row r="210" spans="1:2" hidden="1" x14ac:dyDescent="0.35">
      <c r="A210" s="46" t="s">
        <v>2</v>
      </c>
      <c r="B210" s="45" t="s">
        <v>20</v>
      </c>
    </row>
    <row r="211" spans="1:2" hidden="1" x14ac:dyDescent="0.35">
      <c r="A211" s="46" t="s">
        <v>68</v>
      </c>
      <c r="B211" s="45" t="s">
        <v>170</v>
      </c>
    </row>
    <row r="212" spans="1:2" hidden="1" x14ac:dyDescent="0.35">
      <c r="A212" s="46" t="s">
        <v>136</v>
      </c>
      <c r="B212" s="45" t="s">
        <v>223</v>
      </c>
    </row>
    <row r="213" spans="1:2" hidden="1" x14ac:dyDescent="0.35">
      <c r="A213" s="46" t="s">
        <v>190</v>
      </c>
      <c r="B213" s="45" t="s">
        <v>103</v>
      </c>
    </row>
    <row r="214" spans="1:2" hidden="1" x14ac:dyDescent="0.35">
      <c r="A214" s="46" t="s">
        <v>3</v>
      </c>
      <c r="B214" s="45" t="s">
        <v>104</v>
      </c>
    </row>
    <row r="215" spans="1:2" hidden="1" x14ac:dyDescent="0.35">
      <c r="A215" s="46" t="s">
        <v>69</v>
      </c>
      <c r="B215" s="45" t="s">
        <v>88</v>
      </c>
    </row>
    <row r="216" spans="1:2" hidden="1" x14ac:dyDescent="0.35">
      <c r="A216" s="46" t="s">
        <v>191</v>
      </c>
      <c r="B216" s="45" t="s">
        <v>171</v>
      </c>
    </row>
    <row r="217" spans="1:2" hidden="1" x14ac:dyDescent="0.35">
      <c r="A217" s="46" t="s">
        <v>4</v>
      </c>
      <c r="B217" s="45" t="s">
        <v>5</v>
      </c>
    </row>
    <row r="218" spans="1:2" hidden="1" x14ac:dyDescent="0.35">
      <c r="A218" s="46" t="s">
        <v>70</v>
      </c>
      <c r="B218" s="45" t="s">
        <v>105</v>
      </c>
    </row>
    <row r="219" spans="1:2" hidden="1" x14ac:dyDescent="0.3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9"/>
  <sheetViews>
    <sheetView workbookViewId="0">
      <selection activeCell="B3" sqref="B3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3" customWidth="1"/>
    <col min="6" max="6" width="15.1796875" style="13" customWidth="1"/>
  </cols>
  <sheetData>
    <row r="1" spans="1:9" x14ac:dyDescent="0.35">
      <c r="A1" t="s">
        <v>242</v>
      </c>
    </row>
    <row r="3" spans="1:9" ht="26" x14ac:dyDescent="0.6">
      <c r="A3" s="37" t="s">
        <v>161</v>
      </c>
      <c r="C3" s="48" t="s">
        <v>220</v>
      </c>
    </row>
    <row r="4" spans="1:9" ht="15.5" x14ac:dyDescent="0.35">
      <c r="A4" t="s">
        <v>52</v>
      </c>
      <c r="C4" s="82" t="str">
        <f>CONCATENATE(B152," ",B153)</f>
        <v>November -  Desember  2024</v>
      </c>
    </row>
    <row r="5" spans="1:9" ht="15.5" x14ac:dyDescent="0.35">
      <c r="A5" s="1">
        <v>4</v>
      </c>
      <c r="B5" s="1" t="s">
        <v>206</v>
      </c>
      <c r="C5" s="1"/>
      <c r="D5" s="1"/>
      <c r="E5" s="179" t="s">
        <v>240</v>
      </c>
      <c r="F5" s="180" t="s">
        <v>241</v>
      </c>
      <c r="G5" s="180" t="s">
        <v>241</v>
      </c>
      <c r="H5" s="180" t="s">
        <v>241</v>
      </c>
      <c r="I5" s="180" t="s">
        <v>241</v>
      </c>
    </row>
    <row r="6" spans="1:9" ht="15" thickBot="1" x14ac:dyDescent="0.4"/>
    <row r="7" spans="1:9" s="1" customFormat="1" ht="15" thickTop="1" x14ac:dyDescent="0.35">
      <c r="A7" s="47"/>
      <c r="B7" s="33"/>
      <c r="C7" s="66" t="s">
        <v>160</v>
      </c>
      <c r="D7" s="71" t="s">
        <v>160</v>
      </c>
      <c r="E7" s="52" t="s">
        <v>17</v>
      </c>
      <c r="F7" s="81" t="s">
        <v>17</v>
      </c>
    </row>
    <row r="8" spans="1:9" s="1" customFormat="1" ht="15" thickBot="1" x14ac:dyDescent="0.4">
      <c r="A8" s="27"/>
      <c r="B8" s="17"/>
      <c r="C8" s="77" t="s">
        <v>18</v>
      </c>
      <c r="D8" s="79" t="s">
        <v>185</v>
      </c>
      <c r="E8" s="55" t="s">
        <v>18</v>
      </c>
      <c r="F8" s="80" t="s">
        <v>185</v>
      </c>
    </row>
    <row r="9" spans="1:9" s="1" customFormat="1" ht="15" thickBot="1" x14ac:dyDescent="0.4">
      <c r="A9" s="7" t="s">
        <v>0</v>
      </c>
      <c r="C9" s="70"/>
      <c r="D9" s="78"/>
      <c r="E9" s="58"/>
      <c r="F9" s="69"/>
    </row>
    <row r="10" spans="1:9" s="1" customFormat="1" ht="15" thickBot="1" x14ac:dyDescent="0.4">
      <c r="A10" s="20" t="s">
        <v>119</v>
      </c>
      <c r="B10" s="19"/>
      <c r="C10" s="38">
        <f t="shared" ref="C10:F10" si="0">SUM(0)</f>
        <v>0</v>
      </c>
      <c r="D10" s="42">
        <f t="shared" si="0"/>
        <v>0</v>
      </c>
      <c r="E10" s="34">
        <f t="shared" si="0"/>
        <v>0</v>
      </c>
      <c r="F10" s="49">
        <f t="shared" si="0"/>
        <v>0</v>
      </c>
    </row>
    <row r="11" spans="1:9" x14ac:dyDescent="0.35">
      <c r="A11" s="3"/>
      <c r="C11" s="10"/>
      <c r="D11" s="9"/>
      <c r="E11" s="5"/>
      <c r="F11" s="11"/>
    </row>
    <row r="12" spans="1:9" s="1" customFormat="1" x14ac:dyDescent="0.35">
      <c r="A12" s="7" t="s">
        <v>221</v>
      </c>
      <c r="C12" s="24"/>
      <c r="D12" s="26"/>
      <c r="E12" s="15"/>
      <c r="F12" s="28"/>
    </row>
    <row r="13" spans="1:9" ht="15" thickBot="1" x14ac:dyDescent="0.4">
      <c r="A13" s="3">
        <v>4220</v>
      </c>
      <c r="B13" t="s">
        <v>57</v>
      </c>
      <c r="C13" s="29"/>
      <c r="D13" s="30"/>
      <c r="E13" s="18"/>
      <c r="F13" s="31">
        <v>5000</v>
      </c>
    </row>
    <row r="14" spans="1:9" s="1" customFormat="1" ht="15" thickBot="1" x14ac:dyDescent="0.4">
      <c r="A14" s="20" t="s">
        <v>120</v>
      </c>
      <c r="B14" s="19"/>
      <c r="C14" s="38">
        <f t="shared" ref="C14:F14" si="1">SUM(C13)</f>
        <v>0</v>
      </c>
      <c r="D14" s="42">
        <f t="shared" si="1"/>
        <v>0</v>
      </c>
      <c r="E14" s="34">
        <f t="shared" si="1"/>
        <v>0</v>
      </c>
      <c r="F14" s="49">
        <f t="shared" si="1"/>
        <v>5000</v>
      </c>
    </row>
    <row r="15" spans="1:9" x14ac:dyDescent="0.35">
      <c r="A15" s="3"/>
      <c r="C15" s="10"/>
      <c r="D15" s="9"/>
      <c r="E15" s="5"/>
      <c r="F15" s="11"/>
    </row>
    <row r="16" spans="1:9" s="1" customFormat="1" x14ac:dyDescent="0.35">
      <c r="A16" s="7" t="s">
        <v>19</v>
      </c>
      <c r="C16" s="24"/>
      <c r="D16" s="26"/>
      <c r="E16" s="15"/>
      <c r="F16" s="28"/>
    </row>
    <row r="17" spans="1:6" s="1" customFormat="1" ht="15" thickBot="1" x14ac:dyDescent="0.4">
      <c r="A17" s="3">
        <v>8051</v>
      </c>
      <c r="B17" t="s">
        <v>130</v>
      </c>
      <c r="C17" s="29">
        <v>-38</v>
      </c>
      <c r="D17" s="30">
        <v>-34</v>
      </c>
      <c r="E17" s="18">
        <v>-38</v>
      </c>
      <c r="F17" s="31">
        <v>-34</v>
      </c>
    </row>
    <row r="18" spans="1:6" s="1" customFormat="1" x14ac:dyDescent="0.35">
      <c r="A18" s="54" t="s">
        <v>34</v>
      </c>
      <c r="B18" s="56"/>
      <c r="C18" s="50">
        <f t="shared" ref="C18:F18" si="2">SUM(C17)+SUM(0)</f>
        <v>-38</v>
      </c>
      <c r="D18" s="39">
        <f t="shared" si="2"/>
        <v>-34</v>
      </c>
      <c r="E18" s="36">
        <f t="shared" si="2"/>
        <v>-38</v>
      </c>
      <c r="F18" s="41">
        <f t="shared" si="2"/>
        <v>-34</v>
      </c>
    </row>
    <row r="19" spans="1:6" x14ac:dyDescent="0.35">
      <c r="A19" s="3"/>
      <c r="C19" s="10"/>
      <c r="D19" s="9"/>
      <c r="E19" s="5"/>
      <c r="F19" s="11"/>
    </row>
    <row r="20" spans="1:6" s="1" customFormat="1" ht="15" thickBot="1" x14ac:dyDescent="0.4">
      <c r="A20" s="27" t="s">
        <v>86</v>
      </c>
      <c r="B20" s="17"/>
      <c r="C20" s="87">
        <f t="shared" ref="C20:F20" si="3">C10-C14-C18</f>
        <v>38</v>
      </c>
      <c r="D20" s="83">
        <f t="shared" si="3"/>
        <v>34</v>
      </c>
      <c r="E20" s="63">
        <f t="shared" si="3"/>
        <v>38</v>
      </c>
      <c r="F20" s="88">
        <f t="shared" si="3"/>
        <v>-4966</v>
      </c>
    </row>
    <row r="21" spans="1:6" x14ac:dyDescent="0.35">
      <c r="A21" s="3"/>
      <c r="C21" s="10"/>
      <c r="D21" s="9"/>
      <c r="E21" s="5"/>
      <c r="F21" s="11"/>
    </row>
    <row r="22" spans="1:6" s="1" customFormat="1" ht="15" thickBot="1" x14ac:dyDescent="0.4">
      <c r="A22" s="7" t="s">
        <v>49</v>
      </c>
      <c r="C22" s="24"/>
      <c r="D22" s="26"/>
      <c r="E22" s="15"/>
      <c r="F22" s="28"/>
    </row>
    <row r="23" spans="1:6" x14ac:dyDescent="0.35">
      <c r="A23" s="57" t="s">
        <v>87</v>
      </c>
      <c r="B23" s="53"/>
      <c r="C23" s="50">
        <f t="shared" ref="C23:F23" si="4">SUM(0)</f>
        <v>0</v>
      </c>
      <c r="D23" s="39">
        <f t="shared" si="4"/>
        <v>0</v>
      </c>
      <c r="E23" s="36">
        <f t="shared" si="4"/>
        <v>0</v>
      </c>
      <c r="F23" s="41">
        <f t="shared" si="4"/>
        <v>0</v>
      </c>
    </row>
    <row r="24" spans="1:6" x14ac:dyDescent="0.35">
      <c r="A24" s="3"/>
      <c r="C24" s="10"/>
      <c r="D24" s="9"/>
      <c r="E24" s="5"/>
      <c r="F24" s="11"/>
    </row>
    <row r="25" spans="1:6" s="1" customFormat="1" ht="15" thickBot="1" x14ac:dyDescent="0.4">
      <c r="A25" s="60" t="s">
        <v>147</v>
      </c>
      <c r="B25" s="59"/>
      <c r="C25" s="84">
        <f t="shared" ref="C25:F25" si="5">C20-C23</f>
        <v>38</v>
      </c>
      <c r="D25" s="86">
        <f t="shared" si="5"/>
        <v>34</v>
      </c>
      <c r="E25" s="72">
        <f t="shared" si="5"/>
        <v>38</v>
      </c>
      <c r="F25" s="85">
        <f t="shared" si="5"/>
        <v>-4966</v>
      </c>
    </row>
    <row r="26" spans="1:6" ht="15" thickTop="1" x14ac:dyDescent="0.35"/>
    <row r="151" spans="1:2" hidden="1" x14ac:dyDescent="0.35"/>
    <row r="152" spans="1:2" hidden="1" x14ac:dyDescent="0.35">
      <c r="B152" t="str">
        <f>VLOOKUP(RIGHT(202411,2),MANED3,2,FALSE)&amp;" - "</f>
        <v xml:space="preserve">November - </v>
      </c>
    </row>
    <row r="153" spans="1:2" hidden="1" x14ac:dyDescent="0.35">
      <c r="B153" t="str">
        <f>VLOOKUP(RIGHT(202412,2),MANED3,2,FALSE)&amp;"  "&amp;LEFT(202412,4)</f>
        <v>Desember  2024</v>
      </c>
    </row>
    <row r="154" spans="1:2" hidden="1" x14ac:dyDescent="0.35"/>
    <row r="155" spans="1:2" hidden="1" x14ac:dyDescent="0.35"/>
    <row r="156" spans="1:2" hidden="1" x14ac:dyDescent="0.35"/>
    <row r="157" spans="1:2" hidden="1" x14ac:dyDescent="0.35">
      <c r="A157" s="46" t="s">
        <v>66</v>
      </c>
      <c r="B157" s="45" t="s">
        <v>188</v>
      </c>
    </row>
    <row r="158" spans="1:2" hidden="1" x14ac:dyDescent="0.35">
      <c r="A158" s="46" t="s">
        <v>135</v>
      </c>
      <c r="B158" s="45" t="s">
        <v>1</v>
      </c>
    </row>
    <row r="159" spans="1:2" hidden="1" x14ac:dyDescent="0.35">
      <c r="A159" s="46" t="s">
        <v>189</v>
      </c>
      <c r="B159" s="45" t="s">
        <v>67</v>
      </c>
    </row>
    <row r="160" spans="1:2" hidden="1" x14ac:dyDescent="0.35">
      <c r="A160" s="46" t="s">
        <v>2</v>
      </c>
      <c r="B160" s="45" t="s">
        <v>20</v>
      </c>
    </row>
    <row r="161" spans="1:2" hidden="1" x14ac:dyDescent="0.35">
      <c r="A161" s="46" t="s">
        <v>68</v>
      </c>
      <c r="B161" s="45" t="s">
        <v>170</v>
      </c>
    </row>
    <row r="162" spans="1:2" hidden="1" x14ac:dyDescent="0.35">
      <c r="A162" s="46" t="s">
        <v>136</v>
      </c>
      <c r="B162" s="45" t="s">
        <v>223</v>
      </c>
    </row>
    <row r="163" spans="1:2" hidden="1" x14ac:dyDescent="0.35">
      <c r="A163" s="46" t="s">
        <v>190</v>
      </c>
      <c r="B163" s="45" t="s">
        <v>103</v>
      </c>
    </row>
    <row r="164" spans="1:2" hidden="1" x14ac:dyDescent="0.35">
      <c r="A164" s="46" t="s">
        <v>3</v>
      </c>
      <c r="B164" s="45" t="s">
        <v>104</v>
      </c>
    </row>
    <row r="165" spans="1:2" hidden="1" x14ac:dyDescent="0.35">
      <c r="A165" s="46" t="s">
        <v>69</v>
      </c>
      <c r="B165" s="45" t="s">
        <v>88</v>
      </c>
    </row>
    <row r="166" spans="1:2" hidden="1" x14ac:dyDescent="0.35">
      <c r="A166" s="46" t="s">
        <v>191</v>
      </c>
      <c r="B166" s="45" t="s">
        <v>171</v>
      </c>
    </row>
    <row r="167" spans="1:2" hidden="1" x14ac:dyDescent="0.35">
      <c r="A167" s="46" t="s">
        <v>4</v>
      </c>
      <c r="B167" s="45" t="s">
        <v>5</v>
      </c>
    </row>
    <row r="168" spans="1:2" hidden="1" x14ac:dyDescent="0.35">
      <c r="A168" s="46" t="s">
        <v>70</v>
      </c>
      <c r="B168" s="45" t="s">
        <v>105</v>
      </c>
    </row>
    <row r="169" spans="1:2" hidden="1" x14ac:dyDescent="0.35"/>
  </sheetData>
  <mergeCells count="1">
    <mergeCell ref="E5:I5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72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3" customWidth="1"/>
    <col min="6" max="9" width="15.1796875" style="13" customWidth="1"/>
  </cols>
  <sheetData>
    <row r="1" spans="1:9" x14ac:dyDescent="0.35">
      <c r="A1" t="s">
        <v>159</v>
      </c>
    </row>
    <row r="3" spans="1:9" ht="26" x14ac:dyDescent="0.6">
      <c r="A3" s="37" t="str">
        <f>_xll.OneStop.ReportPlayer.OSRFunctions.OSRGet("ThisCompany","CompanyName")</f>
        <v>[ThisCompany.CompanyName]</v>
      </c>
      <c r="F3" s="48" t="s">
        <v>220</v>
      </c>
      <c r="I3" s="40" t="s">
        <v>117</v>
      </c>
    </row>
    <row r="4" spans="1:9" ht="15.5" x14ac:dyDescent="0.35">
      <c r="A4" t="s">
        <v>52</v>
      </c>
      <c r="F4" s="82" t="e">
        <f>CONCATENATE(B155," ",B156)</f>
        <v>#N/A</v>
      </c>
      <c r="I4" s="43">
        <f ca="1">NOW()</f>
        <v>45755.789781250001</v>
      </c>
    </row>
    <row r="5" spans="1:9" x14ac:dyDescent="0.35">
      <c r="A5" s="1" t="str">
        <f>_xll.OneStop.ReportPlayer.OSRFunctions.OSRGet("Journal_Department","DepId")</f>
        <v>[Journal_Department.DepId]</v>
      </c>
      <c r="B5" s="1" t="str">
        <f>_xll.OneStop.ReportPlayer.OSRFunctions.OSRGet("Journal_Department","Name")</f>
        <v>[Journal_Department.Name]</v>
      </c>
      <c r="C5" s="1"/>
      <c r="D5" s="1"/>
    </row>
    <row r="6" spans="1:9" ht="15" thickBot="1" x14ac:dyDescent="0.4"/>
    <row r="7" spans="1:9" s="1" customFormat="1" ht="15" thickTop="1" x14ac:dyDescent="0.35">
      <c r="A7" s="47"/>
      <c r="B7" s="33"/>
      <c r="C7" s="66" t="s">
        <v>160</v>
      </c>
      <c r="D7" s="71" t="s">
        <v>160</v>
      </c>
      <c r="E7" s="52" t="s">
        <v>17</v>
      </c>
      <c r="F7" s="81" t="s">
        <v>17</v>
      </c>
      <c r="G7" s="23"/>
      <c r="H7" s="65" t="s">
        <v>18</v>
      </c>
      <c r="I7" s="23"/>
    </row>
    <row r="8" spans="1:9" s="1" customFormat="1" ht="15" thickBot="1" x14ac:dyDescent="0.4">
      <c r="A8" s="27"/>
      <c r="B8" s="17"/>
      <c r="C8" s="77" t="s">
        <v>18</v>
      </c>
      <c r="D8" s="79" t="s">
        <v>185</v>
      </c>
      <c r="E8" s="55" t="s">
        <v>18</v>
      </c>
      <c r="F8" s="80" t="s">
        <v>185</v>
      </c>
      <c r="G8" s="25" t="s">
        <v>118</v>
      </c>
      <c r="H8" s="68" t="s">
        <v>134</v>
      </c>
      <c r="I8" s="25" t="s">
        <v>118</v>
      </c>
    </row>
    <row r="9" spans="1:9" s="1" customFormat="1" x14ac:dyDescent="0.35">
      <c r="A9" s="7" t="s">
        <v>0</v>
      </c>
      <c r="C9" s="70"/>
      <c r="D9" s="78"/>
      <c r="E9" s="58"/>
      <c r="F9" s="69"/>
      <c r="G9" s="21"/>
      <c r="H9" s="75"/>
      <c r="I9" s="21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10" t="e">
        <f>-_xll.OneStop.ReportPlayer.OSRFunctions.OSRGet("Journal_SubEntry","AmtCur")</f>
        <v>#VALUE!</v>
      </c>
      <c r="D10" s="9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11" t="e">
        <f>-_xll.OneStop.ReportPlayer.OSRFunctions.OSRGet("Journal_SubEntry","AmtCur")</f>
        <v>#VALUE!</v>
      </c>
      <c r="G10" s="2" t="e">
        <f t="shared" ref="G10:G11" si="0">E10-F10</f>
        <v>#VALUE!</v>
      </c>
      <c r="H10" s="8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20" t="s">
        <v>119</v>
      </c>
      <c r="B11" s="19"/>
      <c r="C11" s="109">
        <f>SUM(_xll.OneStop.ReportPlayer.OSRFunctions.OSRRef(C10))</f>
        <v>0</v>
      </c>
      <c r="D11" s="129">
        <f>SUM(_xll.OneStop.ReportPlayer.OSRFunctions.OSRRef(D10))</f>
        <v>0</v>
      </c>
      <c r="E11" s="90">
        <f>SUM(_xll.OneStop.ReportPlayer.OSRFunctions.OSRRef(E10))</f>
        <v>0</v>
      </c>
      <c r="F11" s="142">
        <f>SUM(_xll.OneStop.ReportPlayer.OSRFunctions.OSRRef(F10))</f>
        <v>0</v>
      </c>
      <c r="G11" s="51">
        <f t="shared" si="0"/>
        <v>0</v>
      </c>
      <c r="H11" s="106">
        <f>SUM(_xll.OneStop.ReportPlayer.OSRFunctions.OSRRef(H10))</f>
        <v>0</v>
      </c>
      <c r="I11" s="51">
        <f t="shared" si="1"/>
        <v>0</v>
      </c>
    </row>
    <row r="12" spans="1:9" x14ac:dyDescent="0.35">
      <c r="A12" s="3"/>
      <c r="C12" s="10"/>
      <c r="D12" s="9"/>
      <c r="E12" s="5"/>
      <c r="F12" s="11"/>
      <c r="G12" s="2"/>
      <c r="H12" s="8"/>
      <c r="I12" s="2"/>
    </row>
    <row r="13" spans="1:9" s="1" customFormat="1" x14ac:dyDescent="0.35">
      <c r="A13" s="7" t="s">
        <v>221</v>
      </c>
      <c r="C13" s="24"/>
      <c r="D13" s="26"/>
      <c r="E13" s="15"/>
      <c r="F13" s="28"/>
      <c r="G13" s="4"/>
      <c r="H13" s="22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10" t="str">
        <f>_xll.OneStop.ReportPlayer.OSRFunctions.OSRGet("Journal_SubEntry","AmtCur")</f>
        <v>[Journal_SubEntry.AmtCur]</v>
      </c>
      <c r="D14" s="9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11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8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20" t="s">
        <v>120</v>
      </c>
      <c r="B15" s="19"/>
      <c r="C15" s="109">
        <f>SUM(_xll.OneStop.ReportPlayer.OSRFunctions.OSRRef(C14))</f>
        <v>0</v>
      </c>
      <c r="D15" s="129">
        <f>SUM(_xll.OneStop.ReportPlayer.OSRFunctions.OSRRef(D14))</f>
        <v>0</v>
      </c>
      <c r="E15" s="90">
        <f>SUM(_xll.OneStop.ReportPlayer.OSRFunctions.OSRRef(E14))</f>
        <v>0</v>
      </c>
      <c r="F15" s="142">
        <f>SUM(_xll.OneStop.ReportPlayer.OSRFunctions.OSRRef(F14))</f>
        <v>0</v>
      </c>
      <c r="G15" s="51">
        <f t="shared" si="2"/>
        <v>0</v>
      </c>
      <c r="H15" s="106">
        <f>SUM(_xll.OneStop.ReportPlayer.OSRFunctions.OSRRef(H14))</f>
        <v>0</v>
      </c>
      <c r="I15" s="51">
        <f t="shared" si="3"/>
        <v>0</v>
      </c>
    </row>
    <row r="16" spans="1:9" x14ac:dyDescent="0.35">
      <c r="A16" s="3"/>
      <c r="C16" s="10"/>
      <c r="D16" s="9"/>
      <c r="E16" s="5"/>
      <c r="F16" s="11"/>
      <c r="G16" s="2"/>
      <c r="H16" s="8"/>
      <c r="I16" s="2"/>
    </row>
    <row r="17" spans="1:9" s="1" customFormat="1" x14ac:dyDescent="0.35">
      <c r="A17" s="7" t="s">
        <v>19</v>
      </c>
      <c r="C17" s="24"/>
      <c r="D17" s="26"/>
      <c r="E17" s="15"/>
      <c r="F17" s="28"/>
      <c r="G17" s="4"/>
      <c r="H17" s="22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10" t="str">
        <f>_xll.OneStop.ReportPlayer.OSRFunctions.OSRGet("Journal_SubEntry","AmtCur")</f>
        <v>[Journal_SubEntry.AmtCur]</v>
      </c>
      <c r="D18" s="9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11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8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10" t="str">
        <f>_xll.OneStop.ReportPlayer.OSRFunctions.OSRGet("Journal_SubEntry","AmtCur")</f>
        <v>[Journal_SubEntry.AmtCur]</v>
      </c>
      <c r="D19" s="9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11" t="str">
        <f>_xll.OneStop.ReportPlayer.OSRFunctions.OSRGet("Journal_SubEntry","AmtCur")</f>
        <v>[Journal_SubEntry.AmtCur]</v>
      </c>
      <c r="G19" s="2" t="e">
        <f t="shared" si="4"/>
        <v>#VALUE!</v>
      </c>
      <c r="H19" s="8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54" t="s">
        <v>34</v>
      </c>
      <c r="B20" s="56"/>
      <c r="C20" s="107">
        <f>SUM(_xll.OneStop.ReportPlayer.OSRFunctions.OSRRef(C18))+SUM(_xll.OneStop.ReportPlayer.OSRFunctions.OSRRef(C19))</f>
        <v>0</v>
      </c>
      <c r="D20" s="126">
        <f>SUM(_xll.OneStop.ReportPlayer.OSRFunctions.OSRRef(D18))+SUM(_xll.OneStop.ReportPlayer.OSRFunctions.OSRRef(D19))</f>
        <v>0</v>
      </c>
      <c r="E20" s="105">
        <f>SUM(_xll.OneStop.ReportPlayer.OSRFunctions.OSRRef(E18))+SUM(_xll.OneStop.ReportPlayer.OSRFunctions.OSRRef(E19))</f>
        <v>0</v>
      </c>
      <c r="F20" s="116">
        <f>SUM(_xll.OneStop.ReportPlayer.OSRFunctions.OSRRef(F18))+SUM(_xll.OneStop.ReportPlayer.OSRFunctions.OSRRef(F19))</f>
        <v>0</v>
      </c>
      <c r="G20" s="73">
        <f t="shared" si="4"/>
        <v>0</v>
      </c>
      <c r="H20" s="137">
        <f>SUM(_xll.OneStop.ReportPlayer.OSRFunctions.OSRRef(H18))+SUM(_xll.OneStop.ReportPlayer.OSRFunctions.OSRRef(H19))</f>
        <v>0</v>
      </c>
      <c r="I20" s="73">
        <f t="shared" si="5"/>
        <v>0</v>
      </c>
    </row>
    <row r="21" spans="1:9" x14ac:dyDescent="0.35">
      <c r="A21" s="3"/>
      <c r="C21" s="10"/>
      <c r="D21" s="9"/>
      <c r="E21" s="5"/>
      <c r="F21" s="11"/>
      <c r="G21" s="2"/>
      <c r="H21" s="8"/>
      <c r="I21" s="2"/>
    </row>
    <row r="22" spans="1:9" s="1" customFormat="1" ht="15" thickBot="1" x14ac:dyDescent="0.4">
      <c r="A22" s="27" t="s">
        <v>86</v>
      </c>
      <c r="B22" s="17"/>
      <c r="C22" s="162">
        <f t="shared" ref="C22:F22" si="6">C11-C15-C20</f>
        <v>0</v>
      </c>
      <c r="D22" s="177">
        <f t="shared" si="6"/>
        <v>0</v>
      </c>
      <c r="E22" s="134">
        <f t="shared" si="6"/>
        <v>0</v>
      </c>
      <c r="F22" s="159">
        <f t="shared" si="6"/>
        <v>0</v>
      </c>
      <c r="G22" s="89">
        <f>E22-F22</f>
        <v>0</v>
      </c>
      <c r="H22" s="158">
        <f>H11-H15-H20</f>
        <v>0</v>
      </c>
      <c r="I22" s="89">
        <f>E22-H22</f>
        <v>0</v>
      </c>
    </row>
    <row r="23" spans="1:9" x14ac:dyDescent="0.35">
      <c r="A23" s="3"/>
      <c r="C23" s="10"/>
      <c r="D23" s="9"/>
      <c r="E23" s="5"/>
      <c r="F23" s="11"/>
      <c r="G23" s="2"/>
      <c r="H23" s="8"/>
      <c r="I23" s="2"/>
    </row>
    <row r="24" spans="1:9" s="1" customFormat="1" x14ac:dyDescent="0.35">
      <c r="A24" s="7" t="s">
        <v>49</v>
      </c>
      <c r="C24" s="24"/>
      <c r="D24" s="26"/>
      <c r="E24" s="15"/>
      <c r="F24" s="28"/>
      <c r="G24" s="4"/>
      <c r="H24" s="22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10" t="str">
        <f>_xll.OneStop.ReportPlayer.OSRFunctions.OSRGet("Journal_SubEntry","AmtCur")</f>
        <v>[Journal_SubEntry.AmtCur]</v>
      </c>
      <c r="D25" s="9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11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8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57" t="s">
        <v>87</v>
      </c>
      <c r="B26" s="53"/>
      <c r="C26" s="107">
        <f>SUM(_xll.OneStop.ReportPlayer.OSRFunctions.OSRRef(C25))</f>
        <v>0</v>
      </c>
      <c r="D26" s="126">
        <f>SUM(_xll.OneStop.ReportPlayer.OSRFunctions.OSRRef(D25))</f>
        <v>0</v>
      </c>
      <c r="E26" s="105">
        <f>SUM(_xll.OneStop.ReportPlayer.OSRFunctions.OSRRef(E25))</f>
        <v>0</v>
      </c>
      <c r="F26" s="116">
        <f>SUM(_xll.OneStop.ReportPlayer.OSRFunctions.OSRRef(F25))</f>
        <v>0</v>
      </c>
      <c r="G26" s="73">
        <f t="shared" si="7"/>
        <v>0</v>
      </c>
      <c r="H26" s="137">
        <f>SUM(_xll.OneStop.ReportPlayer.OSRFunctions.OSRRef(H25))</f>
        <v>0</v>
      </c>
      <c r="I26" s="73">
        <f t="shared" si="8"/>
        <v>0</v>
      </c>
    </row>
    <row r="27" spans="1:9" x14ac:dyDescent="0.35">
      <c r="A27" s="3"/>
      <c r="C27" s="10"/>
      <c r="D27" s="9"/>
      <c r="E27" s="5"/>
      <c r="F27" s="11"/>
      <c r="G27" s="2"/>
      <c r="H27" s="8"/>
      <c r="I27" s="2"/>
    </row>
    <row r="28" spans="1:9" s="1" customFormat="1" ht="15" thickBot="1" x14ac:dyDescent="0.4">
      <c r="A28" s="60" t="s">
        <v>147</v>
      </c>
      <c r="B28" s="59"/>
      <c r="C28" s="171">
        <f t="shared" ref="C28:F28" si="9">C22-C26</f>
        <v>0</v>
      </c>
      <c r="D28" s="147">
        <f t="shared" si="9"/>
        <v>0</v>
      </c>
      <c r="E28" s="138">
        <f t="shared" si="9"/>
        <v>0</v>
      </c>
      <c r="F28" s="174">
        <f t="shared" si="9"/>
        <v>0</v>
      </c>
      <c r="G28" s="98">
        <f>E28-F28</f>
        <v>0</v>
      </c>
      <c r="H28" s="167">
        <f>H22-H26</f>
        <v>0</v>
      </c>
      <c r="I28" s="98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VLOOKUP(RIGHT(_xll.OneStop.ReportPlayer.OSRFunctions.OSRGet("Period","PeriodId"),2),MANED3,2,FALSE)&amp;" - "</f>
        <v>#N/A</v>
      </c>
    </row>
    <row r="156" spans="1:2" hidden="1" x14ac:dyDescent="0.35">
      <c r="B156" t="e">
        <f>VLOOKUP(RIGHT(_xll.OneStop.ReportPlayer.OSRFunctions.OSRGet("Period","PeriodId"),2),MANED3,2,FALSE)&amp;"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46" t="s">
        <v>66</v>
      </c>
      <c r="B160" s="45" t="s">
        <v>188</v>
      </c>
    </row>
    <row r="161" spans="1:2" hidden="1" x14ac:dyDescent="0.35">
      <c r="A161" s="46" t="s">
        <v>135</v>
      </c>
      <c r="B161" s="45" t="s">
        <v>1</v>
      </c>
    </row>
    <row r="162" spans="1:2" hidden="1" x14ac:dyDescent="0.35">
      <c r="A162" s="46" t="s">
        <v>189</v>
      </c>
      <c r="B162" s="45" t="s">
        <v>67</v>
      </c>
    </row>
    <row r="163" spans="1:2" hidden="1" x14ac:dyDescent="0.35">
      <c r="A163" s="46" t="s">
        <v>2</v>
      </c>
      <c r="B163" s="45" t="s">
        <v>20</v>
      </c>
    </row>
    <row r="164" spans="1:2" hidden="1" x14ac:dyDescent="0.35">
      <c r="A164" s="46" t="s">
        <v>68</v>
      </c>
      <c r="B164" s="45" t="s">
        <v>170</v>
      </c>
    </row>
    <row r="165" spans="1:2" hidden="1" x14ac:dyDescent="0.35">
      <c r="A165" s="46" t="s">
        <v>136</v>
      </c>
      <c r="B165" s="45" t="s">
        <v>223</v>
      </c>
    </row>
    <row r="166" spans="1:2" hidden="1" x14ac:dyDescent="0.35">
      <c r="A166" s="46" t="s">
        <v>190</v>
      </c>
      <c r="B166" s="45" t="s">
        <v>103</v>
      </c>
    </row>
    <row r="167" spans="1:2" hidden="1" x14ac:dyDescent="0.35">
      <c r="A167" s="46" t="s">
        <v>3</v>
      </c>
      <c r="B167" s="45" t="s">
        <v>104</v>
      </c>
    </row>
    <row r="168" spans="1:2" hidden="1" x14ac:dyDescent="0.35">
      <c r="A168" s="46" t="s">
        <v>69</v>
      </c>
      <c r="B168" s="45" t="s">
        <v>88</v>
      </c>
    </row>
    <row r="169" spans="1:2" hidden="1" x14ac:dyDescent="0.35">
      <c r="A169" s="46" t="s">
        <v>191</v>
      </c>
      <c r="B169" s="45" t="s">
        <v>171</v>
      </c>
    </row>
    <row r="170" spans="1:2" hidden="1" x14ac:dyDescent="0.35">
      <c r="A170" s="46" t="s">
        <v>4</v>
      </c>
      <c r="B170" s="45" t="s">
        <v>5</v>
      </c>
    </row>
    <row r="171" spans="1:2" hidden="1" x14ac:dyDescent="0.35">
      <c r="A171" s="46" t="s">
        <v>70</v>
      </c>
      <c r="B171" s="45" t="s">
        <v>105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16</vt:i4>
      </vt:variant>
    </vt:vector>
  </HeadingPairs>
  <TitlesOfParts>
    <vt:vector size="25" baseType="lpstr">
      <vt:lpstr>Resultat</vt:lpstr>
      <vt:lpstr>OSR_Resultat_...3a21ba33_HEX3NS</vt:lpstr>
      <vt:lpstr>Balanse</vt:lpstr>
      <vt:lpstr>OSR_Balanse_d...b8468579_F2RXWS</vt:lpstr>
      <vt:lpstr>Alpint</vt:lpstr>
      <vt:lpstr>Hovedlaget</vt:lpstr>
      <vt:lpstr>Langrenn</vt:lpstr>
      <vt:lpstr>Skiskyting</vt:lpstr>
      <vt:lpstr>OSR_Avdeling_...2e9dfb58_HRAJLI</vt:lpstr>
      <vt:lpstr>OSR_Resultat_...3a21ba33_HEX3NS!MANED2</vt:lpstr>
      <vt:lpstr>Resultat!MANED2</vt:lpstr>
      <vt:lpstr>Alpint!MANED3</vt:lpstr>
      <vt:lpstr>Hovedlaget!MANED3</vt:lpstr>
      <vt:lpstr>Langrenn!MANED3</vt:lpstr>
      <vt:lpstr>OSR_Avdeling_...2e9dfb58_HRAJLI!MANED3</vt:lpstr>
      <vt:lpstr>Skiskyting!MANED3</vt:lpstr>
      <vt:lpstr>Balanse!MANED4</vt:lpstr>
      <vt:lpstr>OSR_Balanse_d...b8468579_F2RXWS!MANED4</vt:lpstr>
      <vt:lpstr>Alpint!Utskriftstitler</vt:lpstr>
      <vt:lpstr>Hovedlaget!Utskriftstitler</vt:lpstr>
      <vt:lpstr>Langrenn!Utskriftstitler</vt:lpstr>
      <vt:lpstr>OSR_Avdeling_...2e9dfb58_HRAJLI!Utskriftstitler</vt:lpstr>
      <vt:lpstr>OSR_Resultat_...3a21ba33_HEX3NS!Utskriftstitler</vt:lpstr>
      <vt:lpstr>Resultat!Utskriftstitler</vt:lpstr>
      <vt:lpstr>Skiskyting!Utskriftstitler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Ingvaldsen</dc:creator>
  <cp:lastModifiedBy>Lunde, Øistein</cp:lastModifiedBy>
  <dcterms:created xsi:type="dcterms:W3CDTF">2017-06-01T12:49:33Z</dcterms:created>
  <dcterms:modified xsi:type="dcterms:W3CDTF">2025-04-08T17:00:55Z</dcterms:modified>
</cp:coreProperties>
</file>